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 gREGG\Documents\"/>
    </mc:Choice>
  </mc:AlternateContent>
  <xr:revisionPtr revIDLastSave="0" documentId="8_{828BE88C-2BFB-4D82-A2F6-B5D81A93AA4A}" xr6:coauthVersionLast="40" xr6:coauthVersionMax="40" xr10:uidLastSave="{00000000-0000-0000-0000-000000000000}"/>
  <bookViews>
    <workbookView xWindow="0" yWindow="0" windowWidth="15345" windowHeight="4410" xr2:uid="{00000000-000D-0000-FFFF-FFFF00000000}"/>
  </bookViews>
  <sheets>
    <sheet name="2445" sheetId="1" r:id="rId1"/>
    <sheet name="Sheet1" sheetId="2" state="hidden" r:id="rId2"/>
    <sheet name="OSR_Sheet1_62B2TS" sheetId="3" state="hidden" r:id="rId3"/>
    <sheet name="OSR_Sheet1_b...014d1a46_1UJHGWC" sheetId="4" state="hidden" r:id="rId4"/>
    <sheet name="Sheet2" sheetId="5" r:id="rId5"/>
    <sheet name="Sheet3" sheetId="6" r:id="rId6"/>
  </sheets>
  <definedNames>
    <definedName name="OSR_GearWriter_0" localSheetId="0">'2445'!$B$2:$DE$2</definedName>
    <definedName name="OSR_GearWriter_1" localSheetId="0">'2445'!$B$3:$DE$3</definedName>
    <definedName name="OSR_GearWriter_2" localSheetId="0">'2445'!$B$4:$DE$4</definedName>
    <definedName name="OSR_GearWriter_3" localSheetId="0">'2445'!$B$5:$DE$5</definedName>
    <definedName name="OSR_GearWriter_4" localSheetId="0">'2445'!$D$7:$E$7</definedName>
    <definedName name="OSR_GearWriter_5" localSheetId="0">'2445'!$D$8:$E$8</definedName>
    <definedName name="OSR_GearWriter_6" localSheetId="0">'2445'!$DD$9:$DE$9</definedName>
    <definedName name="OSRRefD11_0x_0" localSheetId="0">'2445'!$D$11,'2445'!$F$11,'2445'!$H$11,'2445'!$J$11,'2445'!$L$11,'2445'!$N$11,'2445'!$P$11,'2445'!$R$11,'2445'!$T$11,'2445'!$V$11,'2445'!$X$11,'2445'!$Z$11,'2445'!$AB$11,'2445'!$AD$11,'2445'!$AF$11,'2445'!$AH$11,'2445'!$AJ$11,'2445'!$AL$11,'2445'!$AN$11,'2445'!$AP$11,'2445'!$AR$11,'2445'!$AT$11,'2445'!$AV$11,'2445'!$AX$11,'2445'!$AZ$11,'2445'!$BB$11,'2445'!$BD$11,'2445'!$BF$11,'2445'!$BH$11,'2445'!$BJ$11,'2445'!$BL$11,'2445'!$BN$11,'2445'!$BP$11,'2445'!$BR$11,'2445'!$BT$11,'2445'!$BV$11,'2445'!$BX$11,'2445'!$BZ$11,'2445'!$CB$11,'2445'!$CD$11,'2445'!$CF$11,'2445'!$CH$11,'2445'!$CJ$11,'2445'!$CL$11,'2445'!$CN$11,'2445'!$CP$11,'2445'!$CR$11,'2445'!$CT$11,'2445'!$CV$11,'2445'!$CX$11,'2445'!$CZ$11,'2445'!$DB$11</definedName>
    <definedName name="OSRRefD13_0x_0" localSheetId="0">'2445'!$D$13,'2445'!$F$13,'2445'!$H$13,'2445'!$J$13,'2445'!$L$13,'2445'!$N$13,'2445'!$P$13,'2445'!$R$13,'2445'!$T$13,'2445'!$V$13,'2445'!$X$13,'2445'!$Z$13,'2445'!$AB$13,'2445'!$AD$13,'2445'!$AF$13,'2445'!$AH$13,'2445'!$AJ$13,'2445'!$AL$13,'2445'!$AN$13,'2445'!$AP$13,'2445'!$AR$13,'2445'!$AT$13,'2445'!$AV$13,'2445'!$AX$13,'2445'!$AZ$13,'2445'!$BB$13,'2445'!$BD$13,'2445'!$BF$13,'2445'!$BH$13,'2445'!$BJ$13,'2445'!$BL$13,'2445'!$BN$13,'2445'!$BP$13,'2445'!$BR$13,'2445'!$BT$13,'2445'!$BV$13,'2445'!$BX$13,'2445'!$BZ$13,'2445'!$CB$13,'2445'!$CD$13,'2445'!$CF$13,'2445'!$CH$13,'2445'!$CJ$13,'2445'!$CL$13,'2445'!$CN$13,'2445'!$CP$13,'2445'!$CR$13,'2445'!$CT$13,'2445'!$CV$13,'2445'!$CX$13,'2445'!$CZ$13,'2445'!$DB$13</definedName>
    <definedName name="OSRRefD15x_0" localSheetId="0">'2445'!$D$15,'2445'!$F$15,'2445'!$H$15,'2445'!$J$15,'2445'!$L$15,'2445'!$N$15,'2445'!$P$15,'2445'!$R$15,'2445'!$T$15,'2445'!$V$15,'2445'!$X$15,'2445'!$Z$15,'2445'!$AB$15,'2445'!$AD$15,'2445'!$AF$15,'2445'!$AH$15,'2445'!$AJ$15,'2445'!$AL$15,'2445'!$AN$15,'2445'!$AP$15,'2445'!$AR$15,'2445'!$AT$15,'2445'!$AV$15,'2445'!$AX$15,'2445'!$AZ$15,'2445'!$BB$15,'2445'!$BD$15,'2445'!$BF$15,'2445'!$BH$15,'2445'!$BJ$15,'2445'!$BL$15,'2445'!$BN$15,'2445'!$BP$15,'2445'!$BR$15,'2445'!$BT$15,'2445'!$BV$15,'2445'!$BX$15,'2445'!$BZ$15,'2445'!$CB$15,'2445'!$CD$15,'2445'!$CF$15,'2445'!$CH$15,'2445'!$CJ$15,'2445'!$CL$15,'2445'!$CN$15,'2445'!$CP$15,'2445'!$CR$15,'2445'!$CT$15,'2445'!$CV$15,'2445'!$CX$15,'2445'!$CZ$15,'2445'!$DB$15</definedName>
    <definedName name="OSRRefD17_0x_0" localSheetId="0">'2445'!$D$17,'2445'!$F$17,'2445'!$H$17,'2445'!$J$17,'2445'!$L$17,'2445'!$N$17,'2445'!$P$17,'2445'!$R$17,'2445'!$T$17,'2445'!$V$17,'2445'!$X$17,'2445'!$Z$17,'2445'!$AB$17,'2445'!$AD$17,'2445'!$AF$17,'2445'!$AH$17,'2445'!$AJ$17,'2445'!$AL$17,'2445'!$AN$17,'2445'!$AP$17,'2445'!$AR$17,'2445'!$AT$17,'2445'!$AV$17,'2445'!$AX$17,'2445'!$AZ$17,'2445'!$BB$17,'2445'!$BD$17,'2445'!$BF$17,'2445'!$BH$17,'2445'!$BJ$17,'2445'!$BL$17,'2445'!$BN$17,'2445'!$BP$17,'2445'!$BR$17,'2445'!$BT$17,'2445'!$BV$17,'2445'!$BX$17,'2445'!$BZ$17,'2445'!$CB$17,'2445'!$CD$17,'2445'!$CF$17,'2445'!$CH$17,'2445'!$CJ$17,'2445'!$CL$17,'2445'!$CN$17,'2445'!$CP$17,'2445'!$CR$17,'2445'!$CT$17,'2445'!$CV$17,'2445'!$CX$17,'2445'!$CZ$17,'2445'!$DB$17</definedName>
    <definedName name="OSRRefD19x_0" localSheetId="0">'2445'!$D$19,'2445'!$F$19,'2445'!$H$19,'2445'!$J$19,'2445'!$L$19,'2445'!$N$19,'2445'!$P$19,'2445'!$R$19,'2445'!$T$19,'2445'!$V$19,'2445'!$X$19,'2445'!$Z$19,'2445'!$AB$19,'2445'!$AD$19,'2445'!$AF$19,'2445'!$AH$19,'2445'!$AJ$19,'2445'!$AL$19,'2445'!$AN$19,'2445'!$AP$19,'2445'!$AR$19,'2445'!$AT$19,'2445'!$AV$19,'2445'!$AX$19,'2445'!$AZ$19,'2445'!$BB$19,'2445'!$BD$19,'2445'!$BF$19,'2445'!$BH$19,'2445'!$BJ$19,'2445'!$BL$19,'2445'!$BN$19,'2445'!$BP$19,'2445'!$BR$19,'2445'!$BT$19,'2445'!$BV$19,'2445'!$BX$19,'2445'!$BZ$19,'2445'!$CB$19,'2445'!$CD$19,'2445'!$CF$19,'2445'!$CH$19,'2445'!$CJ$19,'2445'!$CL$19,'2445'!$CN$19,'2445'!$CP$19,'2445'!$CR$19,'2445'!$CT$19,'2445'!$CV$19,'2445'!$CX$19,'2445'!$CZ$19,'2445'!$DB$19</definedName>
    <definedName name="OSRRefD21x_0" localSheetId="0">'2445'!$D$21,'2445'!$F$21,'2445'!$H$21,'2445'!$J$21,'2445'!$L$21,'2445'!$N$21,'2445'!$P$21,'2445'!$R$21,'2445'!$T$21,'2445'!$V$21,'2445'!$X$21,'2445'!$Z$21,'2445'!$AB$21,'2445'!$AD$21,'2445'!$AF$21,'2445'!$AH$21,'2445'!$AJ$21,'2445'!$AL$21,'2445'!$AN$21,'2445'!$AP$21,'2445'!$AR$21,'2445'!$AT$21,'2445'!$AV$21,'2445'!$AX$21,'2445'!$AZ$21,'2445'!$BB$21,'2445'!$BD$21,'2445'!$BF$21,'2445'!$BH$21,'2445'!$BJ$21,'2445'!$BL$21,'2445'!$BN$21,'2445'!$BP$21,'2445'!$BR$21,'2445'!$BT$21,'2445'!$BV$21,'2445'!$BX$21,'2445'!$BZ$21,'2445'!$CB$21,'2445'!$CD$21,'2445'!$CF$21,'2445'!$CH$21,'2445'!$CJ$21,'2445'!$CL$21,'2445'!$CN$21,'2445'!$CP$21,'2445'!$CR$21,'2445'!$CT$21,'2445'!$CV$21,'2445'!$CX$21,'2445'!$CZ$21,'2445'!$DB$21</definedName>
    <definedName name="OSRRefD23_0x_0" localSheetId="0">'2445'!$D$23,'2445'!$F$23,'2445'!$H$23,'2445'!$J$23,'2445'!$L$23,'2445'!$N$23,'2445'!$P$23,'2445'!$R$23,'2445'!$T$23,'2445'!$V$23,'2445'!$X$23,'2445'!$Z$23,'2445'!$AB$23,'2445'!$AD$23,'2445'!$AF$23,'2445'!$AH$23,'2445'!$AJ$23,'2445'!$AL$23,'2445'!$AN$23,'2445'!$AP$23,'2445'!$AR$23,'2445'!$AT$23,'2445'!$AV$23,'2445'!$AX$23,'2445'!$AZ$23,'2445'!$BB$23,'2445'!$BD$23,'2445'!$BF$23,'2445'!$BH$23,'2445'!$BJ$23,'2445'!$BL$23,'2445'!$BN$23,'2445'!$BP$23,'2445'!$BR$23,'2445'!$BT$23,'2445'!$BV$23,'2445'!$BX$23,'2445'!$BZ$23,'2445'!$CB$23,'2445'!$CD$23,'2445'!$CF$23,'2445'!$CH$23,'2445'!$CJ$23,'2445'!$CL$23,'2445'!$CN$23,'2445'!$CP$23,'2445'!$CR$23,'2445'!$CT$23,'2445'!$CV$23,'2445'!$CX$23,'2445'!$CZ$23,'2445'!$DB$23</definedName>
    <definedName name="OSRRefD25x_0" localSheetId="0">'2445'!$D$25,'2445'!$F$25,'2445'!$H$25,'2445'!$J$25,'2445'!$L$25,'2445'!$N$25,'2445'!$P$25,'2445'!$R$25,'2445'!$T$25,'2445'!$V$25,'2445'!$X$25,'2445'!$Z$25,'2445'!$AB$25,'2445'!$AD$25,'2445'!$AF$25,'2445'!$AH$25,'2445'!$AJ$25,'2445'!$AL$25,'2445'!$AN$25,'2445'!$AP$25,'2445'!$AR$25,'2445'!$AT$25,'2445'!$AV$25,'2445'!$AX$25,'2445'!$AZ$25,'2445'!$BB$25,'2445'!$BD$25,'2445'!$BF$25,'2445'!$BH$25,'2445'!$BJ$25,'2445'!$BL$25,'2445'!$BN$25,'2445'!$BP$25,'2445'!$BR$25,'2445'!$BT$25,'2445'!$BV$25,'2445'!$BX$25,'2445'!$BZ$25,'2445'!$CB$25,'2445'!$CD$25,'2445'!$CF$25,'2445'!$CH$25,'2445'!$CJ$25,'2445'!$CL$25,'2445'!$CN$25,'2445'!$CP$25,'2445'!$CR$25,'2445'!$CT$25,'2445'!$CV$25,'2445'!$CX$25,'2445'!$CZ$25,'2445'!$DB$25</definedName>
    <definedName name="OSRRefD26_0x_0" localSheetId="0">'2445'!$D$26,'2445'!$F$26,'2445'!$H$26,'2445'!$J$26,'2445'!$L$26,'2445'!$N$26,'2445'!$P$26,'2445'!$R$26,'2445'!$T$26,'2445'!$V$26,'2445'!$X$26,'2445'!$Z$26,'2445'!$AB$26,'2445'!$AD$26,'2445'!$AF$26,'2445'!$AH$26,'2445'!$AJ$26,'2445'!$AL$26,'2445'!$AN$26,'2445'!$AP$26,'2445'!$AR$26,'2445'!$AT$26,'2445'!$AV$26,'2445'!$AX$26,'2445'!$AZ$26,'2445'!$BB$26,'2445'!$BD$26,'2445'!$BF$26,'2445'!$BH$26,'2445'!$BJ$26,'2445'!$BL$26,'2445'!$BN$26,'2445'!$BP$26,'2445'!$BR$26,'2445'!$BT$26,'2445'!$BV$26,'2445'!$BX$26,'2445'!$BZ$26,'2445'!$CB$26,'2445'!$CD$26,'2445'!$CF$26,'2445'!$CH$26,'2445'!$CJ$26,'2445'!$CL$26,'2445'!$CN$26,'2445'!$CP$26,'2445'!$CR$26,'2445'!$CT$26,'2445'!$CV$26,'2445'!$CX$26,'2445'!$CZ$26,'2445'!$DB$26</definedName>
    <definedName name="OSRRefD28x_0" localSheetId="0">'2445'!$D$28,'2445'!$F$28,'2445'!$H$28,'2445'!$J$28,'2445'!$L$28,'2445'!$N$28,'2445'!$P$28,'2445'!$R$28,'2445'!$T$28,'2445'!$V$28,'2445'!$X$28,'2445'!$Z$28,'2445'!$AB$28,'2445'!$AD$28,'2445'!$AF$28,'2445'!$AH$28,'2445'!$AJ$28,'2445'!$AL$28,'2445'!$AN$28,'2445'!$AP$28,'2445'!$AR$28,'2445'!$AT$28,'2445'!$AV$28,'2445'!$AX$28,'2445'!$AZ$28,'2445'!$BB$28,'2445'!$BD$28,'2445'!$BF$28,'2445'!$BH$28,'2445'!$BJ$28,'2445'!$BL$28,'2445'!$BN$28,'2445'!$BP$28,'2445'!$BR$28,'2445'!$BT$28,'2445'!$BV$28,'2445'!$BX$28,'2445'!$BZ$28,'2445'!$CB$28,'2445'!$CD$28,'2445'!$CF$28,'2445'!$CH$28,'2445'!$CJ$28,'2445'!$CL$28,'2445'!$CN$28,'2445'!$CP$28,'2445'!$CR$28,'2445'!$CT$28,'2445'!$CV$28,'2445'!$CX$28,'2445'!$CZ$28,'2445'!$DB$28</definedName>
    <definedName name="OSRRefD29_0x_0" localSheetId="0">'2445'!$D$29,'2445'!$F$29,'2445'!$H$29,'2445'!$J$29,'2445'!$L$29,'2445'!$N$29,'2445'!$P$29,'2445'!$R$29,'2445'!$T$29,'2445'!$V$29,'2445'!$X$29,'2445'!$Z$29,'2445'!$AB$29,'2445'!$AD$29,'2445'!$AF$29,'2445'!$AH$29,'2445'!$AJ$29,'2445'!$AL$29,'2445'!$AN$29,'2445'!$AP$29,'2445'!$AR$29,'2445'!$AT$29,'2445'!$AV$29,'2445'!$AX$29,'2445'!$AZ$29,'2445'!$BB$29,'2445'!$BD$29,'2445'!$BF$29,'2445'!$BH$29,'2445'!$BJ$29,'2445'!$BL$29,'2445'!$BN$29,'2445'!$BP$29,'2445'!$BR$29,'2445'!$BT$29,'2445'!$BV$29,'2445'!$BX$29,'2445'!$BZ$29,'2445'!$CB$29,'2445'!$CD$29,'2445'!$CF$29,'2445'!$CH$29,'2445'!$CJ$29,'2445'!$CL$29,'2445'!$CN$29,'2445'!$CP$29,'2445'!$CR$29,'2445'!$CT$29,'2445'!$CV$29,'2445'!$CX$29,'2445'!$CZ$29,'2445'!$DB$29</definedName>
    <definedName name="OSRRefD31x_0" localSheetId="0">'2445'!$D$31,'2445'!$F$31,'2445'!$H$31,'2445'!$J$31,'2445'!$L$31,'2445'!$N$31,'2445'!$P$31,'2445'!$R$31,'2445'!$T$31,'2445'!$V$31,'2445'!$X$31,'2445'!$Z$31,'2445'!$AB$31,'2445'!$AD$31,'2445'!$AF$31,'2445'!$AH$31,'2445'!$AJ$31,'2445'!$AL$31,'2445'!$AN$31,'2445'!$AP$31,'2445'!$AR$31,'2445'!$AT$31,'2445'!$AV$31,'2445'!$AX$31,'2445'!$AZ$31,'2445'!$BB$31,'2445'!$BD$31,'2445'!$BF$31,'2445'!$BH$31,'2445'!$BJ$31,'2445'!$BL$31,'2445'!$BN$31,'2445'!$BP$31,'2445'!$BR$31,'2445'!$BT$31,'2445'!$BV$31,'2445'!$BX$31,'2445'!$BZ$31,'2445'!$CB$31,'2445'!$CD$31,'2445'!$CF$31,'2445'!$CH$31,'2445'!$CJ$31,'2445'!$CL$31,'2445'!$CN$31,'2445'!$CP$31,'2445'!$CR$31,'2445'!$CT$31,'2445'!$CV$31,'2445'!$CX$31,'2445'!$CZ$31,'2445'!$DB$31</definedName>
    <definedName name="OSRRefD33x_0" localSheetId="0">'2445'!$D$33,'2445'!$F$33,'2445'!$H$33,'2445'!$J$33,'2445'!$L$33,'2445'!$N$33,'2445'!$P$33,'2445'!$R$33,'2445'!$T$33,'2445'!$V$33,'2445'!$X$33,'2445'!$Z$33,'2445'!$AB$33,'2445'!$AD$33,'2445'!$AF$33,'2445'!$AH$33,'2445'!$AJ$33,'2445'!$AL$33,'2445'!$AN$33,'2445'!$AP$33,'2445'!$AR$33,'2445'!$AT$33,'2445'!$AV$33,'2445'!$AX$33,'2445'!$AZ$33,'2445'!$BB$33,'2445'!$BD$33,'2445'!$BF$33,'2445'!$BH$33,'2445'!$BJ$33,'2445'!$BL$33,'2445'!$BN$33,'2445'!$BP$33,'2445'!$BR$33,'2445'!$BT$33,'2445'!$BV$33,'2445'!$BX$33,'2445'!$BZ$33,'2445'!$CB$33,'2445'!$CD$33,'2445'!$CF$33,'2445'!$CH$33,'2445'!$CJ$33,'2445'!$CL$33,'2445'!$CN$33,'2445'!$CP$33,'2445'!$CR$33,'2445'!$CT$33,'2445'!$CV$33,'2445'!$CX$33,'2445'!$CZ$33,'2445'!$DB$33</definedName>
    <definedName name="OSRRefD35_0x_0" localSheetId="0">'2445'!$D$35,'2445'!$F$35,'2445'!$H$35,'2445'!$J$35,'2445'!$L$35,'2445'!$N$35,'2445'!$P$35,'2445'!$R$35,'2445'!$T$35,'2445'!$V$35,'2445'!$X$35,'2445'!$Z$35,'2445'!$AB$35,'2445'!$AD$35,'2445'!$AF$35,'2445'!$AH$35,'2445'!$AJ$35,'2445'!$AL$35,'2445'!$AN$35,'2445'!$AP$35,'2445'!$AR$35,'2445'!$AT$35,'2445'!$AV$35,'2445'!$AX$35,'2445'!$AZ$35,'2445'!$BB$35,'2445'!$BD$35,'2445'!$BF$35,'2445'!$BH$35,'2445'!$BJ$35,'2445'!$BL$35,'2445'!$BN$35,'2445'!$BP$35,'2445'!$BR$35,'2445'!$BT$35,'2445'!$BV$35,'2445'!$BX$35,'2445'!$BZ$35,'2445'!$CB$35,'2445'!$CD$35,'2445'!$CF$35,'2445'!$CH$35,'2445'!$CJ$35,'2445'!$CL$35,'2445'!$CN$35,'2445'!$CP$35,'2445'!$CR$35,'2445'!$CT$35,'2445'!$CV$35,'2445'!$CX$35,'2445'!$CZ$35,'2445'!$DB$35</definedName>
    <definedName name="OSRRefD35_1x_0" localSheetId="0">'2445'!$D$36,'2445'!$F$36,'2445'!$H$36,'2445'!$J$36,'2445'!$L$36,'2445'!$N$36,'2445'!$P$36,'2445'!$R$36,'2445'!$T$36,'2445'!$V$36,'2445'!$X$36,'2445'!$Z$36,'2445'!$AB$36,'2445'!$AD$36,'2445'!$AF$36,'2445'!$AH$36,'2445'!$AJ$36,'2445'!$AL$36,'2445'!$AN$36,'2445'!$AP$36,'2445'!$AR$36,'2445'!$AT$36,'2445'!$AV$36,'2445'!$AX$36,'2445'!$AZ$36,'2445'!$BB$36,'2445'!$BD$36,'2445'!$BF$36,'2445'!$BH$36,'2445'!$BJ$36,'2445'!$BL$36,'2445'!$BN$36,'2445'!$BP$36,'2445'!$BR$36,'2445'!$BT$36,'2445'!$BV$36,'2445'!$BX$36,'2445'!$BZ$36,'2445'!$CB$36,'2445'!$CD$36,'2445'!$CF$36,'2445'!$CH$36,'2445'!$CJ$36,'2445'!$CL$36,'2445'!$CN$36,'2445'!$CP$36,'2445'!$CR$36,'2445'!$CT$36,'2445'!$CV$36,'2445'!$CX$36,'2445'!$CZ$36,'2445'!$DB$36</definedName>
    <definedName name="OSRRefD36_0x_0" localSheetId="0">'2445'!$D$37,'2445'!$F$37,'2445'!$H$37,'2445'!$J$37,'2445'!$L$37,'2445'!$N$37,'2445'!$P$37,'2445'!$R$37,'2445'!$T$37,'2445'!$V$37,'2445'!$X$37,'2445'!$Z$37,'2445'!$AB$37,'2445'!$AD$37,'2445'!$AF$37,'2445'!$AH$37,'2445'!$AJ$37,'2445'!$AL$37,'2445'!$AN$37,'2445'!$AP$37,'2445'!$AR$37,'2445'!$AT$37,'2445'!$AV$37,'2445'!$AX$37,'2445'!$AZ$37,'2445'!$BB$37,'2445'!$BD$37,'2445'!$BF$37,'2445'!$BH$37,'2445'!$BJ$37,'2445'!$BL$37,'2445'!$BN$37,'2445'!$BP$37,'2445'!$BR$37,'2445'!$BT$37,'2445'!$BV$37,'2445'!$BX$37,'2445'!$BZ$37,'2445'!$CB$37,'2445'!$CD$37,'2445'!$CF$37,'2445'!$CH$37,'2445'!$CJ$37,'2445'!$CL$37,'2445'!$CN$37,'2445'!$CP$37,'2445'!$CR$37,'2445'!$CT$37,'2445'!$CV$37,'2445'!$CX$37,'2445'!$CZ$37,'2445'!$DB$37</definedName>
    <definedName name="OSRRefD37_0x_0" localSheetId="0">'2445'!$D$38,'2445'!$F$38,'2445'!$H$38,'2445'!$J$38,'2445'!$L$38,'2445'!$N$38,'2445'!$P$38,'2445'!$R$38,'2445'!$T$38,'2445'!$V$38,'2445'!$X$38,'2445'!$Z$38,'2445'!$AB$38,'2445'!$AD$38,'2445'!$AF$38,'2445'!$AH$38,'2445'!$AJ$38,'2445'!$AL$38,'2445'!$AN$38,'2445'!$AP$38,'2445'!$AR$38,'2445'!$AT$38,'2445'!$AV$38,'2445'!$AX$38,'2445'!$AZ$38,'2445'!$BB$38,'2445'!$BD$38,'2445'!$BF$38,'2445'!$BH$38,'2445'!$BJ$38,'2445'!$BL$38,'2445'!$BN$38,'2445'!$BP$38,'2445'!$BR$38,'2445'!$BT$38,'2445'!$BV$38,'2445'!$BX$38,'2445'!$BZ$38,'2445'!$CB$38,'2445'!$CD$38,'2445'!$CF$38,'2445'!$CH$38,'2445'!$CJ$38,'2445'!$CL$38,'2445'!$CN$38,'2445'!$CP$38,'2445'!$CR$38,'2445'!$CT$38,'2445'!$CV$38,'2445'!$CX$38,'2445'!$CZ$38,'2445'!$DB$38</definedName>
    <definedName name="OSRRefD39x_0" localSheetId="0">'2445'!$D$40,'2445'!$F$40,'2445'!$H$40,'2445'!$J$40,'2445'!$L$40,'2445'!$N$40,'2445'!$P$40,'2445'!$R$40,'2445'!$T$40,'2445'!$V$40,'2445'!$X$40,'2445'!$Z$40,'2445'!$AB$40,'2445'!$AD$40,'2445'!$AF$40,'2445'!$AH$40,'2445'!$AJ$40,'2445'!$AL$40,'2445'!$AN$40,'2445'!$AP$40,'2445'!$AR$40,'2445'!$AT$40,'2445'!$AV$40,'2445'!$AX$40,'2445'!$AZ$40,'2445'!$BB$40,'2445'!$BD$40,'2445'!$BF$40,'2445'!$BH$40,'2445'!$BJ$40,'2445'!$BL$40,'2445'!$BN$40,'2445'!$BP$40,'2445'!$BR$40,'2445'!$BT$40,'2445'!$BV$40,'2445'!$BX$40,'2445'!$BZ$40,'2445'!$CB$40,'2445'!$CD$40,'2445'!$CF$40,'2445'!$CH$40,'2445'!$CJ$40,'2445'!$CL$40,'2445'!$CN$40,'2445'!$CP$40,'2445'!$CR$40,'2445'!$CT$40,'2445'!$CV$40,'2445'!$CX$40,'2445'!$CZ$40,'2445'!$DB$40</definedName>
    <definedName name="OSRRefD41x_0" localSheetId="0">'2445'!$D$42,'2445'!$F$42,'2445'!$H$42,'2445'!$J$42,'2445'!$L$42,'2445'!$N$42,'2445'!$P$42,'2445'!$R$42,'2445'!$T$42,'2445'!$V$42,'2445'!$X$42,'2445'!$Z$42,'2445'!$AB$42,'2445'!$AD$42,'2445'!$AF$42,'2445'!$AH$42,'2445'!$AJ$42,'2445'!$AL$42,'2445'!$AN$42,'2445'!$AP$42,'2445'!$AR$42,'2445'!$AT$42,'2445'!$AV$42,'2445'!$AX$42,'2445'!$AZ$42,'2445'!$BB$42,'2445'!$BD$42,'2445'!$BF$42,'2445'!$BH$42,'2445'!$BJ$42,'2445'!$BL$42,'2445'!$BN$42,'2445'!$BP$42,'2445'!$BR$42,'2445'!$BT$42,'2445'!$BV$42,'2445'!$BX$42,'2445'!$BZ$42,'2445'!$CB$42,'2445'!$CD$42,'2445'!$CF$42,'2445'!$CH$42,'2445'!$CJ$42,'2445'!$CL$42,'2445'!$CN$42,'2445'!$CP$42,'2445'!$CR$42,'2445'!$CT$42,'2445'!$CV$42,'2445'!$CX$42,'2445'!$CZ$42,'2445'!$DB$42</definedName>
    <definedName name="OSRRefD43_0x_0" localSheetId="0">'2445'!$D$44,'2445'!$F$44,'2445'!$H$44,'2445'!$J$44,'2445'!$L$44,'2445'!$N$44,'2445'!$P$44,'2445'!$R$44,'2445'!$T$44,'2445'!$V$44,'2445'!$X$44,'2445'!$Z$44,'2445'!$AB$44,'2445'!$AD$44,'2445'!$AF$44,'2445'!$AH$44,'2445'!$AJ$44,'2445'!$AL$44,'2445'!$AN$44,'2445'!$AP$44,'2445'!$AR$44,'2445'!$AT$44,'2445'!$AV$44,'2445'!$AX$44,'2445'!$AZ$44,'2445'!$BB$44,'2445'!$BD$44,'2445'!$BF$44,'2445'!$BH$44,'2445'!$BJ$44,'2445'!$BL$44,'2445'!$BN$44,'2445'!$BP$44,'2445'!$BR$44,'2445'!$BT$44,'2445'!$BV$44,'2445'!$BX$44,'2445'!$BZ$44,'2445'!$CB$44,'2445'!$CD$44,'2445'!$CF$44,'2445'!$CH$44,'2445'!$CJ$44,'2445'!$CL$44,'2445'!$CN$44,'2445'!$CP$44,'2445'!$CR$44,'2445'!$CT$44,'2445'!$CV$44,'2445'!$CX$44,'2445'!$CZ$44,'2445'!$DB$44</definedName>
    <definedName name="OSRRefD45x_0" localSheetId="0">'2445'!$D$46,'2445'!$F$46,'2445'!$H$46,'2445'!$J$46,'2445'!$L$46,'2445'!$N$46,'2445'!$P$46,'2445'!$R$46,'2445'!$T$46,'2445'!$V$46,'2445'!$X$46,'2445'!$Z$46,'2445'!$AB$46,'2445'!$AD$46,'2445'!$AF$46,'2445'!$AH$46,'2445'!$AJ$46,'2445'!$AL$46,'2445'!$AN$46,'2445'!$AP$46,'2445'!$AR$46,'2445'!$AT$46,'2445'!$AV$46,'2445'!$AX$46,'2445'!$AZ$46,'2445'!$BB$46,'2445'!$BD$46,'2445'!$BF$46,'2445'!$BH$46,'2445'!$BJ$46,'2445'!$BL$46,'2445'!$BN$46,'2445'!$BP$46,'2445'!$BR$46,'2445'!$BT$46,'2445'!$BV$46,'2445'!$BX$46,'2445'!$BZ$46,'2445'!$CB$46,'2445'!$CD$46,'2445'!$CF$46,'2445'!$CH$46,'2445'!$CJ$46,'2445'!$CL$46,'2445'!$CN$46,'2445'!$CP$46,'2445'!$CR$46,'2445'!$CT$46,'2445'!$CV$46,'2445'!$CX$46,'2445'!$CZ$46,'2445'!$DB$46</definedName>
    <definedName name="OSRRefD47_0x_0" localSheetId="0">'2445'!$D$48,'2445'!$F$48,'2445'!$H$48,'2445'!$J$48,'2445'!$L$48,'2445'!$N$48,'2445'!$P$48,'2445'!$R$48,'2445'!$T$48,'2445'!$V$48,'2445'!$X$48,'2445'!$Z$48,'2445'!$AB$48,'2445'!$AD$48,'2445'!$AF$48,'2445'!$AH$48,'2445'!$AJ$48,'2445'!$AL$48,'2445'!$AN$48,'2445'!$AP$48,'2445'!$AR$48,'2445'!$AT$48,'2445'!$AV$48,'2445'!$AX$48,'2445'!$AZ$48,'2445'!$BB$48,'2445'!$BD$48,'2445'!$BF$48,'2445'!$BH$48,'2445'!$BJ$48,'2445'!$BL$48,'2445'!$BN$48,'2445'!$BP$48,'2445'!$BR$48,'2445'!$BT$48,'2445'!$BV$48,'2445'!$BX$48,'2445'!$BZ$48,'2445'!$CB$48,'2445'!$CD$48,'2445'!$CF$48,'2445'!$CH$48,'2445'!$CJ$48,'2445'!$CL$48,'2445'!$CN$48,'2445'!$CP$48,'2445'!$CR$48,'2445'!$CT$48,'2445'!$CV$48,'2445'!$CX$48,'2445'!$CZ$48,'2445'!$DB$48</definedName>
    <definedName name="OSRRefD49x_0" localSheetId="0">'2445'!$D$50,'2445'!$F$50,'2445'!$H$50,'2445'!$J$50,'2445'!$L$50,'2445'!$N$50,'2445'!$P$50,'2445'!$R$50,'2445'!$T$50,'2445'!$V$50,'2445'!$X$50,'2445'!$Z$50,'2445'!$AB$50,'2445'!$AD$50,'2445'!$AF$50,'2445'!$AH$50,'2445'!$AJ$50,'2445'!$AL$50,'2445'!$AN$50,'2445'!$AP$50,'2445'!$AR$50,'2445'!$AT$50,'2445'!$AV$50,'2445'!$AX$50,'2445'!$AZ$50,'2445'!$BB$50,'2445'!$BD$50,'2445'!$BF$50,'2445'!$BH$50,'2445'!$BJ$50,'2445'!$BL$50,'2445'!$BN$50,'2445'!$BP$50,'2445'!$BR$50,'2445'!$BT$50,'2445'!$BV$50,'2445'!$BX$50,'2445'!$BZ$50,'2445'!$CB$50,'2445'!$CD$50,'2445'!$CF$50,'2445'!$CH$50,'2445'!$CJ$50,'2445'!$CL$50,'2445'!$CN$50,'2445'!$CP$50,'2445'!$CR$50,'2445'!$CT$50,'2445'!$CV$50,'2445'!$CX$50,'2445'!$CZ$50,'2445'!$DB$50</definedName>
    <definedName name="OSRRefD52x_0" localSheetId="0">'2445'!$D$53,'2445'!$F$53,'2445'!$H$53,'2445'!$J$53,'2445'!$L$53,'2445'!$N$53,'2445'!$P$53,'2445'!$R$53,'2445'!$T$53,'2445'!$V$53,'2445'!$X$53,'2445'!$Z$53,'2445'!$AB$53,'2445'!$AD$53,'2445'!$AF$53,'2445'!$AH$53,'2445'!$AJ$53,'2445'!$AL$53,'2445'!$AN$53,'2445'!$AP$53,'2445'!$AR$53,'2445'!$AT$53,'2445'!$AV$53,'2445'!$AX$53,'2445'!$AZ$53,'2445'!$BB$53,'2445'!$BD$53,'2445'!$BF$53,'2445'!$BH$53,'2445'!$BJ$53,'2445'!$BL$53,'2445'!$BN$53,'2445'!$BP$53,'2445'!$BR$53,'2445'!$BT$53,'2445'!$BV$53,'2445'!$BX$53,'2445'!$BZ$53,'2445'!$CB$53,'2445'!$CD$53,'2445'!$CF$53,'2445'!$CH$53,'2445'!$CJ$53,'2445'!$CL$53,'2445'!$CN$53,'2445'!$CP$53,'2445'!$CR$53,'2445'!$CT$53,'2445'!$CV$53,'2445'!$CX$53,'2445'!$CZ$53,'2445'!$DB$53</definedName>
    <definedName name="OSRRefD55x_0" localSheetId="0">'2445'!$D$56,'2445'!$F$56,'2445'!$H$56,'2445'!$J$56,'2445'!$L$56,'2445'!$N$56,'2445'!$P$56,'2445'!$R$56,'2445'!$T$56,'2445'!$V$56,'2445'!$X$56,'2445'!$Z$56,'2445'!$AB$56,'2445'!$AD$56,'2445'!$AF$56,'2445'!$AH$56,'2445'!$AJ$56,'2445'!$AL$56,'2445'!$AN$56,'2445'!$AP$56,'2445'!$AR$56,'2445'!$AT$56,'2445'!$AV$56,'2445'!$AX$56,'2445'!$AZ$56,'2445'!$BB$56,'2445'!$BD$56,'2445'!$BF$56,'2445'!$BH$56,'2445'!$BJ$56,'2445'!$BL$56,'2445'!$BN$56,'2445'!$BP$56,'2445'!$BR$56,'2445'!$BT$56,'2445'!$BV$56,'2445'!$BX$56,'2445'!$BZ$56,'2445'!$CB$56,'2445'!$CD$56,'2445'!$CF$56,'2445'!$CH$56,'2445'!$CJ$56,'2445'!$CL$56,'2445'!$CN$56,'2445'!$CP$56,'2445'!$CR$56,'2445'!$CT$56,'2445'!$CV$56,'2445'!$CX$56,'2445'!$CZ$56,'2445'!$DB$56</definedName>
    <definedName name="OSRRefD56x_0" localSheetId="0">'2445'!$D$57,'2445'!$F$57,'2445'!$H$57,'2445'!$J$57,'2445'!$L$57,'2445'!$N$57,'2445'!$P$57,'2445'!$R$57,'2445'!$T$57,'2445'!$V$57,'2445'!$X$57,'2445'!$Z$57,'2445'!$AB$57,'2445'!$AD$57,'2445'!$AF$57,'2445'!$AH$57,'2445'!$AJ$57,'2445'!$AL$57,'2445'!$AN$57,'2445'!$AP$57,'2445'!$AR$57,'2445'!$AT$57,'2445'!$AV$57,'2445'!$AX$57,'2445'!$AZ$57,'2445'!$BB$57,'2445'!$BD$57,'2445'!$BF$57,'2445'!$BH$57,'2445'!$BJ$57,'2445'!$BL$57,'2445'!$BN$57,'2445'!$BP$57,'2445'!$BR$57,'2445'!$BT$57,'2445'!$BV$57,'2445'!$BX$57,'2445'!$BZ$57,'2445'!$CB$57,'2445'!$CD$57,'2445'!$CF$57,'2445'!$CH$57,'2445'!$CJ$57,'2445'!$CL$57,'2445'!$CN$57,'2445'!$CP$57,'2445'!$CR$57,'2445'!$CT$57,'2445'!$CV$57,'2445'!$CX$57,'2445'!$CZ$57,'2445'!$DB$57</definedName>
    <definedName name="OSRRefD61_0x_0" localSheetId="0">'2445'!$D$62,'2445'!$F$62,'2445'!$H$62,'2445'!$J$62,'2445'!$L$62,'2445'!$N$62,'2445'!$P$62,'2445'!$R$62,'2445'!$T$62,'2445'!$V$62,'2445'!$X$62,'2445'!$Z$62,'2445'!$AB$62,'2445'!$AD$62,'2445'!$AF$62,'2445'!$AH$62,'2445'!$AJ$62,'2445'!$AL$62,'2445'!$AN$62,'2445'!$AP$62,'2445'!$AR$62,'2445'!$AT$62,'2445'!$AV$62,'2445'!$AX$62,'2445'!$AZ$62,'2445'!$BB$62,'2445'!$BD$62,'2445'!$BF$62,'2445'!$BH$62,'2445'!$BJ$62,'2445'!$BL$62,'2445'!$BN$62,'2445'!$BP$62,'2445'!$BR$62,'2445'!$BT$62,'2445'!$BV$62,'2445'!$BX$62,'2445'!$BZ$62,'2445'!$CB$62,'2445'!$CD$62,'2445'!$CF$62,'2445'!$CH$62,'2445'!$CJ$62,'2445'!$CL$62,'2445'!$CN$62,'2445'!$CP$62,'2445'!$CR$62,'2445'!$CT$62,'2445'!$CV$62,'2445'!$CX$62,'2445'!$CZ$62,'2445'!$DB$62</definedName>
    <definedName name="OSRRefD63x_0" localSheetId="0">'2445'!$D$64,'2445'!$F$64,'2445'!$H$64,'2445'!$J$64,'2445'!$L$64,'2445'!$N$64,'2445'!$P$64,'2445'!$R$64,'2445'!$T$64,'2445'!$V$64,'2445'!$X$64,'2445'!$Z$64,'2445'!$AB$64,'2445'!$AD$64,'2445'!$AF$64,'2445'!$AH$64,'2445'!$AJ$64,'2445'!$AL$64,'2445'!$AN$64,'2445'!$AP$64,'2445'!$AR$64,'2445'!$AT$64,'2445'!$AV$64,'2445'!$AX$64,'2445'!$AZ$64,'2445'!$BB$64,'2445'!$BD$64,'2445'!$BF$64,'2445'!$BH$64,'2445'!$BJ$64,'2445'!$BL$64,'2445'!$BN$64,'2445'!$BP$64,'2445'!$BR$64,'2445'!$BT$64,'2445'!$BV$64,'2445'!$BX$64,'2445'!$BZ$64,'2445'!$CB$64,'2445'!$CD$64,'2445'!$CF$64,'2445'!$CH$64,'2445'!$CJ$64,'2445'!$CL$64,'2445'!$CN$64,'2445'!$CP$64,'2445'!$CR$64,'2445'!$CT$64,'2445'!$CV$64,'2445'!$CX$64,'2445'!$CZ$64,'2445'!$DB$64</definedName>
    <definedName name="OSRRefD65_0x_0" localSheetId="0">'2445'!$D$66,'2445'!$F$66,'2445'!$H$66,'2445'!$J$66,'2445'!$L$66,'2445'!$N$66,'2445'!$P$66,'2445'!$R$66,'2445'!$T$66,'2445'!$V$66,'2445'!$X$66,'2445'!$Z$66,'2445'!$AB$66,'2445'!$AD$66,'2445'!$AF$66,'2445'!$AH$66,'2445'!$AJ$66,'2445'!$AL$66,'2445'!$AN$66,'2445'!$AP$66,'2445'!$AR$66,'2445'!$AT$66,'2445'!$AV$66,'2445'!$AX$66,'2445'!$AZ$66,'2445'!$BB$66,'2445'!$BD$66,'2445'!$BF$66,'2445'!$BH$66,'2445'!$BJ$66,'2445'!$BL$66,'2445'!$BN$66,'2445'!$BP$66,'2445'!$BR$66,'2445'!$BT$66,'2445'!$BV$66,'2445'!$BX$66,'2445'!$BZ$66,'2445'!$CB$66,'2445'!$CD$66,'2445'!$CF$66,'2445'!$CH$66,'2445'!$CJ$66,'2445'!$CL$66,'2445'!$CN$66,'2445'!$CP$66,'2445'!$CR$66,'2445'!$CT$66,'2445'!$CV$66,'2445'!$CX$66,'2445'!$CZ$66,'2445'!$DB$66</definedName>
    <definedName name="OSRRefD67x_0" localSheetId="0">'2445'!$D$68,'2445'!$F$68,'2445'!$H$68,'2445'!$J$68,'2445'!$L$68,'2445'!$N$68,'2445'!$P$68,'2445'!$R$68,'2445'!$T$68,'2445'!$V$68,'2445'!$X$68,'2445'!$Z$68,'2445'!$AB$68,'2445'!$AD$68,'2445'!$AF$68,'2445'!$AH$68,'2445'!$AJ$68,'2445'!$AL$68,'2445'!$AN$68,'2445'!$AP$68,'2445'!$AR$68,'2445'!$AT$68,'2445'!$AV$68,'2445'!$AX$68,'2445'!$AZ$68,'2445'!$BB$68,'2445'!$BD$68,'2445'!$BF$68,'2445'!$BH$68,'2445'!$BJ$68,'2445'!$BL$68,'2445'!$BN$68,'2445'!$BP$68,'2445'!$BR$68,'2445'!$BT$68,'2445'!$BV$68,'2445'!$BX$68,'2445'!$BZ$68,'2445'!$CB$68,'2445'!$CD$68,'2445'!$CF$68,'2445'!$CH$68,'2445'!$CJ$68,'2445'!$CL$68,'2445'!$CN$68,'2445'!$CP$68,'2445'!$CR$68,'2445'!$CT$68,'2445'!$CV$68,'2445'!$CX$68,'2445'!$CZ$68,'2445'!$DB$68</definedName>
    <definedName name="OSRRefD69_0x_0" localSheetId="0">'2445'!$D$70,'2445'!$F$70,'2445'!$H$70,'2445'!$J$70,'2445'!$L$70,'2445'!$N$70,'2445'!$P$70,'2445'!$R$70,'2445'!$T$70,'2445'!$V$70,'2445'!$X$70,'2445'!$Z$70,'2445'!$AB$70,'2445'!$AD$70,'2445'!$AF$70,'2445'!$AH$70,'2445'!$AJ$70,'2445'!$AL$70,'2445'!$AN$70,'2445'!$AP$70,'2445'!$AR$70,'2445'!$AT$70,'2445'!$AV$70,'2445'!$AX$70,'2445'!$AZ$70,'2445'!$BB$70,'2445'!$BD$70,'2445'!$BF$70,'2445'!$BH$70,'2445'!$BJ$70,'2445'!$BL$70,'2445'!$BN$70,'2445'!$BP$70,'2445'!$BR$70,'2445'!$BT$70,'2445'!$BV$70,'2445'!$BX$70,'2445'!$BZ$70,'2445'!$CB$70,'2445'!$CD$70,'2445'!$CF$70,'2445'!$CH$70,'2445'!$CJ$70,'2445'!$CL$70,'2445'!$CN$70,'2445'!$CP$70,'2445'!$CR$70,'2445'!$CT$70,'2445'!$CV$70,'2445'!$CX$70,'2445'!$CZ$70,'2445'!$DB$70</definedName>
    <definedName name="OSRRefD69_1x_0" localSheetId="0">'2445'!$D$71,'2445'!$F$71,'2445'!$H$71,'2445'!$J$71,'2445'!$L$71,'2445'!$N$71,'2445'!$P$71,'2445'!$R$71,'2445'!$T$71,'2445'!$V$71,'2445'!$X$71,'2445'!$Z$71,'2445'!$AB$71,'2445'!$AD$71,'2445'!$AF$71,'2445'!$AH$71,'2445'!$AJ$71,'2445'!$AL$71,'2445'!$AN$71,'2445'!$AP$71,'2445'!$AR$71,'2445'!$AT$71,'2445'!$AV$71,'2445'!$AX$71,'2445'!$AZ$71,'2445'!$BB$71,'2445'!$BD$71,'2445'!$BF$71,'2445'!$BH$71,'2445'!$BJ$71,'2445'!$BL$71,'2445'!$BN$71,'2445'!$BP$71,'2445'!$BR$71,'2445'!$BT$71,'2445'!$BV$71,'2445'!$BX$71,'2445'!$BZ$71,'2445'!$CB$71,'2445'!$CD$71,'2445'!$CF$71,'2445'!$CH$71,'2445'!$CJ$71,'2445'!$CL$71,'2445'!$CN$71,'2445'!$CP$71,'2445'!$CR$71,'2445'!$CT$71,'2445'!$CV$71,'2445'!$CX$71,'2445'!$CZ$71,'2445'!$DB$71</definedName>
    <definedName name="OSRRefD71x_0" localSheetId="0">'2445'!$D$73,'2445'!$F$73,'2445'!$H$73,'2445'!$J$73,'2445'!$L$73,'2445'!$N$73,'2445'!$P$73,'2445'!$R$73,'2445'!$T$73,'2445'!$V$73,'2445'!$X$73,'2445'!$Z$73,'2445'!$AB$73,'2445'!$AD$73,'2445'!$AF$73,'2445'!$AH$73,'2445'!$AJ$73,'2445'!$AL$73,'2445'!$AN$73,'2445'!$AP$73,'2445'!$AR$73,'2445'!$AT$73,'2445'!$AV$73,'2445'!$AX$73,'2445'!$AZ$73,'2445'!$BB$73,'2445'!$BD$73,'2445'!$BF$73,'2445'!$BH$73,'2445'!$BJ$73,'2445'!$BL$73,'2445'!$BN$73,'2445'!$BP$73,'2445'!$BR$73,'2445'!$BT$73,'2445'!$BV$73,'2445'!$BX$73,'2445'!$BZ$73,'2445'!$CB$73,'2445'!$CD$73,'2445'!$CF$73,'2445'!$CH$73,'2445'!$CJ$73,'2445'!$CL$73,'2445'!$CN$73,'2445'!$CP$73,'2445'!$CR$73,'2445'!$CT$73,'2445'!$CV$73,'2445'!$CX$73,'2445'!$CZ$73,'2445'!$DB$73</definedName>
    <definedName name="OSRRefD75x_0" localSheetId="0">'2445'!$D$77,'2445'!$F$77,'2445'!$H$77,'2445'!$J$77,'2445'!$L$77,'2445'!$N$77,'2445'!$P$77,'2445'!$R$77,'2445'!$T$77,'2445'!$V$77,'2445'!$X$77,'2445'!$Z$77,'2445'!$AB$77,'2445'!$AD$77,'2445'!$AF$77,'2445'!$AH$77,'2445'!$AJ$77,'2445'!$AL$77,'2445'!$AN$77,'2445'!$AP$77,'2445'!$AR$77,'2445'!$AT$77,'2445'!$AV$77,'2445'!$AX$77,'2445'!$AZ$77,'2445'!$BB$77,'2445'!$BD$77,'2445'!$BF$77,'2445'!$BH$77,'2445'!$BJ$77,'2445'!$BL$77,'2445'!$BN$77,'2445'!$BP$77,'2445'!$BR$77,'2445'!$BT$77,'2445'!$BV$77,'2445'!$BX$77,'2445'!$BZ$77,'2445'!$CB$77,'2445'!$CD$77,'2445'!$CF$77,'2445'!$CH$77,'2445'!$CJ$77,'2445'!$CL$77,'2445'!$CN$77,'2445'!$CP$77,'2445'!$CR$77,'2445'!$CT$77,'2445'!$CV$77,'2445'!$CX$77,'2445'!$CZ$77,'2445'!$DB$77</definedName>
    <definedName name="OSRRefD79x_0" localSheetId="0">'2445'!$D$81,'2445'!$F$81,'2445'!$H$81,'2445'!$J$81,'2445'!$L$81,'2445'!$N$81,'2445'!$P$81,'2445'!$R$81,'2445'!$T$81,'2445'!$V$81,'2445'!$X$81,'2445'!$Z$81,'2445'!$AB$81,'2445'!$AD$81,'2445'!$AF$81,'2445'!$AH$81,'2445'!$AJ$81,'2445'!$AL$81,'2445'!$AN$81,'2445'!$AP$81,'2445'!$AR$81,'2445'!$AT$81,'2445'!$AV$81,'2445'!$AX$81,'2445'!$AZ$81,'2445'!$BB$81,'2445'!$BD$81,'2445'!$BF$81,'2445'!$BH$81,'2445'!$BJ$81,'2445'!$BL$81,'2445'!$BN$81,'2445'!$BP$81,'2445'!$BR$81,'2445'!$BT$81,'2445'!$BV$81,'2445'!$BX$81,'2445'!$BZ$81,'2445'!$CB$81,'2445'!$CD$81,'2445'!$CF$81,'2445'!$CH$81,'2445'!$CJ$81,'2445'!$CL$81,'2445'!$CN$81,'2445'!$CP$81,'2445'!$CR$81,'2445'!$CT$81,'2445'!$CV$81,'2445'!$CX$81,'2445'!$CZ$81,'2445'!$DB$81</definedName>
    <definedName name="OSRRefD81_0x_0" localSheetId="0">'2445'!$D$83,'2445'!$F$83,'2445'!$H$83,'2445'!$J$83,'2445'!$L$83,'2445'!$N$83,'2445'!$P$83,'2445'!$R$83,'2445'!$T$83,'2445'!$V$83,'2445'!$X$83,'2445'!$Z$83,'2445'!$AB$83,'2445'!$AD$83,'2445'!$AF$83,'2445'!$AH$83,'2445'!$AJ$83,'2445'!$AL$83,'2445'!$AN$83,'2445'!$AP$83,'2445'!$AR$83,'2445'!$AT$83,'2445'!$AV$83,'2445'!$AX$83,'2445'!$AZ$83,'2445'!$BB$83,'2445'!$BD$83,'2445'!$BF$83,'2445'!$BH$83,'2445'!$BJ$83,'2445'!$BL$83,'2445'!$BN$83,'2445'!$BP$83,'2445'!$BR$83,'2445'!$BT$83,'2445'!$BV$83,'2445'!$BX$83,'2445'!$BZ$83,'2445'!$CB$83,'2445'!$CD$83,'2445'!$CF$83,'2445'!$CH$83,'2445'!$CJ$83,'2445'!$CL$83,'2445'!$CN$83,'2445'!$CP$83,'2445'!$CR$83,'2445'!$CT$83,'2445'!$CV$83,'2445'!$CX$83,'2445'!$CZ$83,'2445'!$DB$83</definedName>
    <definedName name="OSRRefD83x_0" localSheetId="0">'2445'!$D$85,'2445'!$F$85,'2445'!$H$85,'2445'!$J$85,'2445'!$L$85,'2445'!$N$85,'2445'!$P$85,'2445'!$R$85,'2445'!$T$85,'2445'!$V$85,'2445'!$X$85,'2445'!$Z$85,'2445'!$AB$85,'2445'!$AD$85,'2445'!$AF$85,'2445'!$AH$85,'2445'!$AJ$85,'2445'!$AL$85,'2445'!$AN$85,'2445'!$AP$85,'2445'!$AR$85,'2445'!$AT$85,'2445'!$AV$85,'2445'!$AX$85,'2445'!$AZ$85,'2445'!$BB$85,'2445'!$BD$85,'2445'!$BF$85,'2445'!$BH$85,'2445'!$BJ$85,'2445'!$BL$85,'2445'!$BN$85,'2445'!$BP$85,'2445'!$BR$85,'2445'!$BT$85,'2445'!$BV$85,'2445'!$BX$85,'2445'!$BZ$85,'2445'!$CB$85,'2445'!$CD$85,'2445'!$CF$85,'2445'!$CH$85,'2445'!$CJ$85,'2445'!$CL$85,'2445'!$CN$85,'2445'!$CP$85,'2445'!$CR$85,'2445'!$CT$85,'2445'!$CV$85,'2445'!$CX$85,'2445'!$CZ$85,'2445'!$DB$85</definedName>
    <definedName name="OSRRefD85_0x_0" localSheetId="0">'2445'!$D$87,'2445'!$F$87,'2445'!$H$87,'2445'!$J$87,'2445'!$L$87,'2445'!$N$87,'2445'!$P$87,'2445'!$R$87,'2445'!$T$87,'2445'!$V$87,'2445'!$X$87,'2445'!$Z$87,'2445'!$AB$87,'2445'!$AD$87,'2445'!$AF$87,'2445'!$AH$87,'2445'!$AJ$87,'2445'!$AL$87,'2445'!$AN$87,'2445'!$AP$87,'2445'!$AR$87,'2445'!$AT$87,'2445'!$AV$87,'2445'!$AX$87,'2445'!$AZ$87,'2445'!$BB$87,'2445'!$BD$87,'2445'!$BF$87,'2445'!$BH$87,'2445'!$BJ$87,'2445'!$BL$87,'2445'!$BN$87,'2445'!$BP$87,'2445'!$BR$87,'2445'!$BT$87,'2445'!$BV$87,'2445'!$BX$87,'2445'!$BZ$87,'2445'!$CB$87,'2445'!$CD$87,'2445'!$CF$87,'2445'!$CH$87,'2445'!$CJ$87,'2445'!$CL$87,'2445'!$CN$87,'2445'!$CP$87,'2445'!$CR$87,'2445'!$CT$87,'2445'!$CV$87,'2445'!$CX$87,'2445'!$CZ$87,'2445'!$DB$87</definedName>
    <definedName name="OSRRefD87x_0" localSheetId="0">'2445'!$D$89,'2445'!$F$89,'2445'!$H$89,'2445'!$J$89,'2445'!$L$89,'2445'!$N$89,'2445'!$P$89,'2445'!$R$89,'2445'!$T$89,'2445'!$V$89,'2445'!$X$89,'2445'!$Z$89,'2445'!$AB$89,'2445'!$AD$89,'2445'!$AF$89,'2445'!$AH$89,'2445'!$AJ$89,'2445'!$AL$89,'2445'!$AN$89,'2445'!$AP$89,'2445'!$AR$89,'2445'!$AT$89,'2445'!$AV$89,'2445'!$AX$89,'2445'!$AZ$89,'2445'!$BB$89,'2445'!$BD$89,'2445'!$BF$89,'2445'!$BH$89,'2445'!$BJ$89,'2445'!$BL$89,'2445'!$BN$89,'2445'!$BP$89,'2445'!$BR$89,'2445'!$BT$89,'2445'!$BV$89,'2445'!$BX$89,'2445'!$BZ$89,'2445'!$CB$89,'2445'!$CD$89,'2445'!$CF$89,'2445'!$CH$89,'2445'!$CJ$89,'2445'!$CL$89,'2445'!$CN$89,'2445'!$CP$89,'2445'!$CR$89,'2445'!$CT$89,'2445'!$CV$89,'2445'!$CX$89,'2445'!$CZ$89,'2445'!$DB$89</definedName>
    <definedName name="OSRRefD93_0_0x_0" localSheetId="0">'2445'!$D$95,'2445'!$F$95,'2445'!$H$95,'2445'!$J$95,'2445'!$L$95,'2445'!$N$95,'2445'!$P$95,'2445'!$R$95,'2445'!$T$95,'2445'!$V$95,'2445'!$X$95,'2445'!$Z$95,'2445'!$AB$95,'2445'!$AD$95,'2445'!$AF$95,'2445'!$AH$95,'2445'!$AJ$95,'2445'!$AL$95,'2445'!$AN$95,'2445'!$AP$95,'2445'!$AR$95,'2445'!$AT$95,'2445'!$AV$95,'2445'!$AX$95,'2445'!$AZ$95,'2445'!$BB$95,'2445'!$BD$95,'2445'!$BF$95,'2445'!$BH$95,'2445'!$BJ$95,'2445'!$BL$95,'2445'!$BN$95,'2445'!$BP$95,'2445'!$BR$95,'2445'!$BT$95,'2445'!$BV$95,'2445'!$BX$95,'2445'!$BZ$95,'2445'!$CB$95,'2445'!$CD$95,'2445'!$CF$95,'2445'!$CH$95,'2445'!$CJ$95,'2445'!$CL$95,'2445'!$CN$95,'2445'!$CP$95,'2445'!$CR$95,'2445'!$CT$95,'2445'!$CV$95,'2445'!$CX$95,'2445'!$CZ$95,'2445'!$DB$95</definedName>
    <definedName name="OSRRefD93_0_1x_0" localSheetId="0">'2445'!$D$96,'2445'!$F$96,'2445'!$H$96,'2445'!$J$96,'2445'!$L$96,'2445'!$N$96,'2445'!$P$96,'2445'!$R$96,'2445'!$T$96,'2445'!$V$96,'2445'!$X$96,'2445'!$Z$96,'2445'!$AB$96,'2445'!$AD$96,'2445'!$AF$96,'2445'!$AH$96,'2445'!$AJ$96,'2445'!$AL$96,'2445'!$AN$96,'2445'!$AP$96,'2445'!$AR$96,'2445'!$AT$96,'2445'!$AV$96,'2445'!$AX$96,'2445'!$AZ$96,'2445'!$BB$96,'2445'!$BD$96,'2445'!$BF$96,'2445'!$BH$96,'2445'!$BJ$96,'2445'!$BL$96,'2445'!$BN$96,'2445'!$BP$96,'2445'!$BR$96,'2445'!$BT$96,'2445'!$BV$96,'2445'!$BX$96,'2445'!$BZ$96,'2445'!$CB$96,'2445'!$CD$96,'2445'!$CF$96,'2445'!$CH$96,'2445'!$CJ$96,'2445'!$CL$96,'2445'!$CN$96,'2445'!$CP$96,'2445'!$CR$96,'2445'!$CT$96,'2445'!$CV$96,'2445'!$CX$96,'2445'!$CZ$96,'2445'!$DB$96</definedName>
    <definedName name="OSRRefD93_0x_0_0" localSheetId="0">'2445'!$D$95:$D$96</definedName>
    <definedName name="OSRRefD93_0x_0_1" localSheetId="0">'2445'!$F$95:$F$96</definedName>
    <definedName name="OSRRefD93_0x_0_10" localSheetId="0">'2445'!$X$95:$X$96</definedName>
    <definedName name="OSRRefD93_0x_0_11" localSheetId="0">'2445'!$Z$95:$Z$96</definedName>
    <definedName name="OSRRefD93_0x_0_12" localSheetId="0">'2445'!$AB$95:$AB$96</definedName>
    <definedName name="OSRRefD93_0x_0_13" localSheetId="0">'2445'!$AD$95:$AD$96</definedName>
    <definedName name="OSRRefD93_0x_0_14" localSheetId="0">'2445'!$AF$95:$AF$96</definedName>
    <definedName name="OSRRefD93_0x_0_15" localSheetId="0">'2445'!$AH$95:$AH$96</definedName>
    <definedName name="OSRRefD93_0x_0_16" localSheetId="0">'2445'!$AJ$95:$AJ$96</definedName>
    <definedName name="OSRRefD93_0x_0_17" localSheetId="0">'2445'!$AL$95:$AL$96</definedName>
    <definedName name="OSRRefD93_0x_0_18" localSheetId="0">'2445'!$AN$95:$AN$96</definedName>
    <definedName name="OSRRefD93_0x_0_19" localSheetId="0">'2445'!$AP$95:$AP$96</definedName>
    <definedName name="OSRRefD93_0x_0_2" localSheetId="0">'2445'!$H$95:$H$96</definedName>
    <definedName name="OSRRefD93_0x_0_20" localSheetId="0">'2445'!$AR$95:$AR$96</definedName>
    <definedName name="OSRRefD93_0x_0_21" localSheetId="0">'2445'!$AT$95:$AT$96</definedName>
    <definedName name="OSRRefD93_0x_0_22" localSheetId="0">'2445'!$AV$95:$AV$96</definedName>
    <definedName name="OSRRefD93_0x_0_23" localSheetId="0">'2445'!$AX$95:$AX$96</definedName>
    <definedName name="OSRRefD93_0x_0_24" localSheetId="0">'2445'!$AZ$95:$AZ$96</definedName>
    <definedName name="OSRRefD93_0x_0_25" localSheetId="0">'2445'!$BB$95:$BB$96</definedName>
    <definedName name="OSRRefD93_0x_0_26" localSheetId="0">'2445'!$BD$95:$BD$96</definedName>
    <definedName name="OSRRefD93_0x_0_27" localSheetId="0">'2445'!$BF$95:$BF$96</definedName>
    <definedName name="OSRRefD93_0x_0_28" localSheetId="0">'2445'!$BH$95:$BH$96</definedName>
    <definedName name="OSRRefD93_0x_0_29" localSheetId="0">'2445'!$BJ$95:$BJ$96</definedName>
    <definedName name="OSRRefD93_0x_0_3" localSheetId="0">'2445'!$J$95:$J$96</definedName>
    <definedName name="OSRRefD93_0x_0_30" localSheetId="0">'2445'!$BL$95:$BL$96</definedName>
    <definedName name="OSRRefD93_0x_0_31" localSheetId="0">'2445'!$BN$95:$BN$96</definedName>
    <definedName name="OSRRefD93_0x_0_32" localSheetId="0">'2445'!$BP$95:$BP$96</definedName>
    <definedName name="OSRRefD93_0x_0_33" localSheetId="0">'2445'!$BR$95:$BR$96</definedName>
    <definedName name="OSRRefD93_0x_0_34" localSheetId="0">'2445'!$BT$95:$BT$96</definedName>
    <definedName name="OSRRefD93_0x_0_35" localSheetId="0">'2445'!$BV$95:$BV$96</definedName>
    <definedName name="OSRRefD93_0x_0_36" localSheetId="0">'2445'!$BX$95:$BX$96</definedName>
    <definedName name="OSRRefD93_0x_0_37" localSheetId="0">'2445'!$BZ$95:$BZ$96</definedName>
    <definedName name="OSRRefD93_0x_0_38" localSheetId="0">'2445'!$CB$95:$CB$96</definedName>
    <definedName name="OSRRefD93_0x_0_39" localSheetId="0">'2445'!$CD$95:$CD$96</definedName>
    <definedName name="OSRRefD93_0x_0_4" localSheetId="0">'2445'!$L$95:$L$96</definedName>
    <definedName name="OSRRefD93_0x_0_40" localSheetId="0">'2445'!$CF$95:$CF$96</definedName>
    <definedName name="OSRRefD93_0x_0_41" localSheetId="0">'2445'!$CH$95:$CH$96</definedName>
    <definedName name="OSRRefD93_0x_0_42" localSheetId="0">'2445'!$CJ$95:$CJ$96</definedName>
    <definedName name="OSRRefD93_0x_0_43" localSheetId="0">'2445'!$CL$95:$CL$96</definedName>
    <definedName name="OSRRefD93_0x_0_44" localSheetId="0">'2445'!$CN$95:$CN$96</definedName>
    <definedName name="OSRRefD93_0x_0_45" localSheetId="0">'2445'!$CP$95:$CP$96</definedName>
    <definedName name="OSRRefD93_0x_0_46" localSheetId="0">'2445'!$CR$95:$CR$96</definedName>
    <definedName name="OSRRefD93_0x_0_47" localSheetId="0">'2445'!$CT$95:$CT$96</definedName>
    <definedName name="OSRRefD93_0x_0_48" localSheetId="0">'2445'!$CV$95:$CV$96</definedName>
    <definedName name="OSRRefD93_0x_0_49" localSheetId="0">'2445'!$CX$95:$CX$96</definedName>
    <definedName name="OSRRefD93_0x_0_5" localSheetId="0">'2445'!$N$95:$N$96</definedName>
    <definedName name="OSRRefD93_0x_0_50" localSheetId="0">'2445'!$CZ$95:$CZ$96</definedName>
    <definedName name="OSRRefD93_0x_0_51" localSheetId="0">'2445'!$DB$95:$DB$96</definedName>
    <definedName name="OSRRefD93_0x_0_6" localSheetId="0">'2445'!$P$95:$P$96</definedName>
    <definedName name="OSRRefD93_0x_0_7" localSheetId="0">'2445'!$R$95:$R$96</definedName>
    <definedName name="OSRRefD93_0x_0_8" localSheetId="0">'2445'!$T$95:$T$96</definedName>
    <definedName name="OSRRefD93_0x_0_9" localSheetId="0">'2445'!$V$95:$V$96</definedName>
    <definedName name="OSRRefD93_1_0x_0" localSheetId="0">'2445'!$D$99,'2445'!$F$99,'2445'!$H$99,'2445'!$J$99,'2445'!$L$99,'2445'!$N$99,'2445'!$P$99,'2445'!$R$99,'2445'!$T$99,'2445'!$V$99,'2445'!$X$99,'2445'!$Z$99,'2445'!$AB$99,'2445'!$AD$99,'2445'!$AF$99,'2445'!$AH$99,'2445'!$AJ$99,'2445'!$AL$99,'2445'!$AN$99,'2445'!$AP$99,'2445'!$AR$99,'2445'!$AT$99,'2445'!$AV$99,'2445'!$AX$99,'2445'!$AZ$99,'2445'!$BB$99,'2445'!$BD$99,'2445'!$BF$99,'2445'!$BH$99,'2445'!$BJ$99,'2445'!$BL$99,'2445'!$BN$99,'2445'!$BP$99,'2445'!$BR$99,'2445'!$BT$99,'2445'!$BV$99,'2445'!$BX$99,'2445'!$BZ$99,'2445'!$CB$99,'2445'!$CD$99,'2445'!$CF$99,'2445'!$CH$99,'2445'!$CJ$99,'2445'!$CL$99,'2445'!$CN$99,'2445'!$CP$99,'2445'!$CR$99,'2445'!$CT$99,'2445'!$CV$99,'2445'!$CX$99,'2445'!$CZ$99,'2445'!$DB$99</definedName>
    <definedName name="OSRRefD93_1x_0_0" localSheetId="0">'2445'!$D$99</definedName>
    <definedName name="OSRRefD93_1x_0_1" localSheetId="0">'2445'!$F$99</definedName>
    <definedName name="OSRRefD93_1x_0_10" localSheetId="0">'2445'!$X$99</definedName>
    <definedName name="OSRRefD93_1x_0_11" localSheetId="0">'2445'!$Z$99</definedName>
    <definedName name="OSRRefD93_1x_0_12" localSheetId="0">'2445'!$AB$99</definedName>
    <definedName name="OSRRefD93_1x_0_13" localSheetId="0">'2445'!$AD$99</definedName>
    <definedName name="OSRRefD93_1x_0_14" localSheetId="0">'2445'!$AF$99</definedName>
    <definedName name="OSRRefD93_1x_0_15" localSheetId="0">'2445'!$AH$99</definedName>
    <definedName name="OSRRefD93_1x_0_16" localSheetId="0">'2445'!$AJ$99</definedName>
    <definedName name="OSRRefD93_1x_0_17" localSheetId="0">'2445'!$AL$99</definedName>
    <definedName name="OSRRefD93_1x_0_18" localSheetId="0">'2445'!$AN$99</definedName>
    <definedName name="OSRRefD93_1x_0_19" localSheetId="0">'2445'!$AP$99</definedName>
    <definedName name="OSRRefD93_1x_0_2" localSheetId="0">'2445'!$H$99</definedName>
    <definedName name="OSRRefD93_1x_0_20" localSheetId="0">'2445'!$AR$99</definedName>
    <definedName name="OSRRefD93_1x_0_21" localSheetId="0">'2445'!$AT$99</definedName>
    <definedName name="OSRRefD93_1x_0_22" localSheetId="0">'2445'!$AV$99</definedName>
    <definedName name="OSRRefD93_1x_0_23" localSheetId="0">'2445'!$AX$99</definedName>
    <definedName name="OSRRefD93_1x_0_24" localSheetId="0">'2445'!$AZ$99</definedName>
    <definedName name="OSRRefD93_1x_0_25" localSheetId="0">'2445'!$BB$99</definedName>
    <definedName name="OSRRefD93_1x_0_26" localSheetId="0">'2445'!$BD$99</definedName>
    <definedName name="OSRRefD93_1x_0_27" localSheetId="0">'2445'!$BF$99</definedName>
    <definedName name="OSRRefD93_1x_0_28" localSheetId="0">'2445'!$BH$99</definedName>
    <definedName name="OSRRefD93_1x_0_29" localSheetId="0">'2445'!$BJ$99</definedName>
    <definedName name="OSRRefD93_1x_0_3" localSheetId="0">'2445'!$J$99</definedName>
    <definedName name="OSRRefD93_1x_0_30" localSheetId="0">'2445'!$BL$99</definedName>
    <definedName name="OSRRefD93_1x_0_31" localSheetId="0">'2445'!$BN$99</definedName>
    <definedName name="OSRRefD93_1x_0_32" localSheetId="0">'2445'!$BP$99</definedName>
    <definedName name="OSRRefD93_1x_0_33" localSheetId="0">'2445'!$BR$99</definedName>
    <definedName name="OSRRefD93_1x_0_34" localSheetId="0">'2445'!$BT$99</definedName>
    <definedName name="OSRRefD93_1x_0_35" localSheetId="0">'2445'!$BV$99</definedName>
    <definedName name="OSRRefD93_1x_0_36" localSheetId="0">'2445'!$BX$99</definedName>
    <definedName name="OSRRefD93_1x_0_37" localSheetId="0">'2445'!$BZ$99</definedName>
    <definedName name="OSRRefD93_1x_0_38" localSheetId="0">'2445'!$CB$99</definedName>
    <definedName name="OSRRefD93_1x_0_39" localSheetId="0">'2445'!$CD$99</definedName>
    <definedName name="OSRRefD93_1x_0_4" localSheetId="0">'2445'!$L$99</definedName>
    <definedName name="OSRRefD93_1x_0_40" localSheetId="0">'2445'!$CF$99</definedName>
    <definedName name="OSRRefD93_1x_0_41" localSheetId="0">'2445'!$CH$99</definedName>
    <definedName name="OSRRefD93_1x_0_42" localSheetId="0">'2445'!$CJ$99</definedName>
    <definedName name="OSRRefD93_1x_0_43" localSheetId="0">'2445'!$CL$99</definedName>
    <definedName name="OSRRefD93_1x_0_44" localSheetId="0">'2445'!$CN$99</definedName>
    <definedName name="OSRRefD93_1x_0_45" localSheetId="0">'2445'!$CP$99</definedName>
    <definedName name="OSRRefD93_1x_0_46" localSheetId="0">'2445'!$CR$99</definedName>
    <definedName name="OSRRefD93_1x_0_47" localSheetId="0">'2445'!$CT$99</definedName>
    <definedName name="OSRRefD93_1x_0_48" localSheetId="0">'2445'!$CV$99</definedName>
    <definedName name="OSRRefD93_1x_0_49" localSheetId="0">'2445'!$CX$99</definedName>
    <definedName name="OSRRefD93_1x_0_5" localSheetId="0">'2445'!$N$99</definedName>
    <definedName name="OSRRefD93_1x_0_50" localSheetId="0">'2445'!$CZ$99</definedName>
    <definedName name="OSRRefD93_1x_0_51" localSheetId="0">'2445'!$DB$99</definedName>
    <definedName name="OSRRefD93_1x_0_6" localSheetId="0">'2445'!$P$99</definedName>
    <definedName name="OSRRefD93_1x_0_7" localSheetId="0">'2445'!$R$99</definedName>
    <definedName name="OSRRefD93_1x_0_8" localSheetId="0">'2445'!$T$99</definedName>
    <definedName name="OSRRefD93_1x_0_9" localSheetId="0">'2445'!$V$99</definedName>
    <definedName name="OSRRefD93_2_0x_0" localSheetId="0">'2445'!$D$102,'2445'!$F$102,'2445'!$H$102,'2445'!$J$102,'2445'!$L$102,'2445'!$N$102,'2445'!$P$102,'2445'!$R$102,'2445'!$T$102,'2445'!$V$102,'2445'!$X$102,'2445'!$Z$102,'2445'!$AB$102,'2445'!$AD$102,'2445'!$AF$102,'2445'!$AH$102,'2445'!$AJ$102,'2445'!$AL$102,'2445'!$AN$102,'2445'!$AP$102,'2445'!$AR$102,'2445'!$AT$102,'2445'!$AV$102,'2445'!$AX$102,'2445'!$AZ$102,'2445'!$BB$102,'2445'!$BD$102,'2445'!$BF$102,'2445'!$BH$102,'2445'!$BJ$102,'2445'!$BL$102,'2445'!$BN$102,'2445'!$BP$102,'2445'!$BR$102,'2445'!$BT$102,'2445'!$BV$102,'2445'!$BX$102,'2445'!$BZ$102,'2445'!$CB$102,'2445'!$CD$102,'2445'!$CF$102,'2445'!$CH$102,'2445'!$CJ$102,'2445'!$CL$102,'2445'!$CN$102,'2445'!$CP$102,'2445'!$CR$102,'2445'!$CT$102,'2445'!$CV$102,'2445'!$CX$102,'2445'!$CZ$102,'2445'!$DB$102</definedName>
    <definedName name="OSRRefD93_2x_0_0" localSheetId="0">'2445'!$D$102</definedName>
    <definedName name="OSRRefD93_2x_0_1" localSheetId="0">'2445'!$F$102</definedName>
    <definedName name="OSRRefD93_2x_0_10" localSheetId="0">'2445'!$X$102</definedName>
    <definedName name="OSRRefD93_2x_0_11" localSheetId="0">'2445'!$Z$102</definedName>
    <definedName name="OSRRefD93_2x_0_12" localSheetId="0">'2445'!$AB$102</definedName>
    <definedName name="OSRRefD93_2x_0_13" localSheetId="0">'2445'!$AD$102</definedName>
    <definedName name="OSRRefD93_2x_0_14" localSheetId="0">'2445'!$AF$102</definedName>
    <definedName name="OSRRefD93_2x_0_15" localSheetId="0">'2445'!$AH$102</definedName>
    <definedName name="OSRRefD93_2x_0_16" localSheetId="0">'2445'!$AJ$102</definedName>
    <definedName name="OSRRefD93_2x_0_17" localSheetId="0">'2445'!$AL$102</definedName>
    <definedName name="OSRRefD93_2x_0_18" localSheetId="0">'2445'!$AN$102</definedName>
    <definedName name="OSRRefD93_2x_0_19" localSheetId="0">'2445'!$AP$102</definedName>
    <definedName name="OSRRefD93_2x_0_2" localSheetId="0">'2445'!$H$102</definedName>
    <definedName name="OSRRefD93_2x_0_20" localSheetId="0">'2445'!$AR$102</definedName>
    <definedName name="OSRRefD93_2x_0_21" localSheetId="0">'2445'!$AT$102</definedName>
    <definedName name="OSRRefD93_2x_0_22" localSheetId="0">'2445'!$AV$102</definedName>
    <definedName name="OSRRefD93_2x_0_23" localSheetId="0">'2445'!$AX$102</definedName>
    <definedName name="OSRRefD93_2x_0_24" localSheetId="0">'2445'!$AZ$102</definedName>
    <definedName name="OSRRefD93_2x_0_25" localSheetId="0">'2445'!$BB$102</definedName>
    <definedName name="OSRRefD93_2x_0_26" localSheetId="0">'2445'!$BD$102</definedName>
    <definedName name="OSRRefD93_2x_0_27" localSheetId="0">'2445'!$BF$102</definedName>
    <definedName name="OSRRefD93_2x_0_28" localSheetId="0">'2445'!$BH$102</definedName>
    <definedName name="OSRRefD93_2x_0_29" localSheetId="0">'2445'!$BJ$102</definedName>
    <definedName name="OSRRefD93_2x_0_3" localSheetId="0">'2445'!$J$102</definedName>
    <definedName name="OSRRefD93_2x_0_30" localSheetId="0">'2445'!$BL$102</definedName>
    <definedName name="OSRRefD93_2x_0_31" localSheetId="0">'2445'!$BN$102</definedName>
    <definedName name="OSRRefD93_2x_0_32" localSheetId="0">'2445'!$BP$102</definedName>
    <definedName name="OSRRefD93_2x_0_33" localSheetId="0">'2445'!$BR$102</definedName>
    <definedName name="OSRRefD93_2x_0_34" localSheetId="0">'2445'!$BT$102</definedName>
    <definedName name="OSRRefD93_2x_0_35" localSheetId="0">'2445'!$BV$102</definedName>
    <definedName name="OSRRefD93_2x_0_36" localSheetId="0">'2445'!$BX$102</definedName>
    <definedName name="OSRRefD93_2x_0_37" localSheetId="0">'2445'!$BZ$102</definedName>
    <definedName name="OSRRefD93_2x_0_38" localSheetId="0">'2445'!$CB$102</definedName>
    <definedName name="OSRRefD93_2x_0_39" localSheetId="0">'2445'!$CD$102</definedName>
    <definedName name="OSRRefD93_2x_0_4" localSheetId="0">'2445'!$L$102</definedName>
    <definedName name="OSRRefD93_2x_0_40" localSheetId="0">'2445'!$CF$102</definedName>
    <definedName name="OSRRefD93_2x_0_41" localSheetId="0">'2445'!$CH$102</definedName>
    <definedName name="OSRRefD93_2x_0_42" localSheetId="0">'2445'!$CJ$102</definedName>
    <definedName name="OSRRefD93_2x_0_43" localSheetId="0">'2445'!$CL$102</definedName>
    <definedName name="OSRRefD93_2x_0_44" localSheetId="0">'2445'!$CN$102</definedName>
    <definedName name="OSRRefD93_2x_0_45" localSheetId="0">'2445'!$CP$102</definedName>
    <definedName name="OSRRefD93_2x_0_46" localSheetId="0">'2445'!$CR$102</definedName>
    <definedName name="OSRRefD93_2x_0_47" localSheetId="0">'2445'!$CT$102</definedName>
    <definedName name="OSRRefD93_2x_0_48" localSheetId="0">'2445'!$CV$102</definedName>
    <definedName name="OSRRefD93_2x_0_49" localSheetId="0">'2445'!$CX$102</definedName>
    <definedName name="OSRRefD93_2x_0_5" localSheetId="0">'2445'!$N$102</definedName>
    <definedName name="OSRRefD93_2x_0_50" localSheetId="0">'2445'!$CZ$102</definedName>
    <definedName name="OSRRefD93_2x_0_51" localSheetId="0">'2445'!$DB$102</definedName>
    <definedName name="OSRRefD93_2x_0_6" localSheetId="0">'2445'!$P$102</definedName>
    <definedName name="OSRRefD93_2x_0_7" localSheetId="0">'2445'!$R$102</definedName>
    <definedName name="OSRRefD93_2x_0_8" localSheetId="0">'2445'!$T$102</definedName>
    <definedName name="OSRRefD93_2x_0_9" localSheetId="0">'2445'!$V$102</definedName>
    <definedName name="OSRRefD93_3_0x_0" localSheetId="0">'2445'!$D$105,'2445'!$F$105,'2445'!$H$105,'2445'!$J$105,'2445'!$L$105,'2445'!$N$105,'2445'!$P$105,'2445'!$R$105,'2445'!$T$105,'2445'!$V$105,'2445'!$X$105,'2445'!$Z$105,'2445'!$AB$105,'2445'!$AD$105,'2445'!$AF$105,'2445'!$AH$105,'2445'!$AJ$105,'2445'!$AL$105,'2445'!$AN$105,'2445'!$AP$105,'2445'!$AR$105,'2445'!$AT$105,'2445'!$AV$105,'2445'!$AX$105,'2445'!$AZ$105,'2445'!$BB$105,'2445'!$BD$105,'2445'!$BF$105,'2445'!$BH$105,'2445'!$BJ$105,'2445'!$BL$105,'2445'!$BN$105,'2445'!$BP$105,'2445'!$BR$105,'2445'!$BT$105,'2445'!$BV$105,'2445'!$BX$105,'2445'!$BZ$105,'2445'!$CB$105,'2445'!$CD$105,'2445'!$CF$105,'2445'!$CH$105,'2445'!$CJ$105,'2445'!$CL$105,'2445'!$CN$105,'2445'!$CP$105,'2445'!$CR$105,'2445'!$CT$105,'2445'!$CV$105,'2445'!$CX$105,'2445'!$CZ$105,'2445'!$DB$105</definedName>
    <definedName name="OSRRefD93_3x_0_0" localSheetId="0">'2445'!$D$105</definedName>
    <definedName name="OSRRefD93_3x_0_1" localSheetId="0">'2445'!$F$105</definedName>
    <definedName name="OSRRefD93_3x_0_10" localSheetId="0">'2445'!$X$105</definedName>
    <definedName name="OSRRefD93_3x_0_11" localSheetId="0">'2445'!$Z$105</definedName>
    <definedName name="OSRRefD93_3x_0_12" localSheetId="0">'2445'!$AB$105</definedName>
    <definedName name="OSRRefD93_3x_0_13" localSheetId="0">'2445'!$AD$105</definedName>
    <definedName name="OSRRefD93_3x_0_14" localSheetId="0">'2445'!$AF$105</definedName>
    <definedName name="OSRRefD93_3x_0_15" localSheetId="0">'2445'!$AH$105</definedName>
    <definedName name="OSRRefD93_3x_0_16" localSheetId="0">'2445'!$AJ$105</definedName>
    <definedName name="OSRRefD93_3x_0_17" localSheetId="0">'2445'!$AL$105</definedName>
    <definedName name="OSRRefD93_3x_0_18" localSheetId="0">'2445'!$AN$105</definedName>
    <definedName name="OSRRefD93_3x_0_19" localSheetId="0">'2445'!$AP$105</definedName>
    <definedName name="OSRRefD93_3x_0_2" localSheetId="0">'2445'!$H$105</definedName>
    <definedName name="OSRRefD93_3x_0_20" localSheetId="0">'2445'!$AR$105</definedName>
    <definedName name="OSRRefD93_3x_0_21" localSheetId="0">'2445'!$AT$105</definedName>
    <definedName name="OSRRefD93_3x_0_22" localSheetId="0">'2445'!$AV$105</definedName>
    <definedName name="OSRRefD93_3x_0_23" localSheetId="0">'2445'!$AX$105</definedName>
    <definedName name="OSRRefD93_3x_0_24" localSheetId="0">'2445'!$AZ$105</definedName>
    <definedName name="OSRRefD93_3x_0_25" localSheetId="0">'2445'!$BB$105</definedName>
    <definedName name="OSRRefD93_3x_0_26" localSheetId="0">'2445'!$BD$105</definedName>
    <definedName name="OSRRefD93_3x_0_27" localSheetId="0">'2445'!$BF$105</definedName>
    <definedName name="OSRRefD93_3x_0_28" localSheetId="0">'2445'!$BH$105</definedName>
    <definedName name="OSRRefD93_3x_0_29" localSheetId="0">'2445'!$BJ$105</definedName>
    <definedName name="OSRRefD93_3x_0_3" localSheetId="0">'2445'!$J$105</definedName>
    <definedName name="OSRRefD93_3x_0_30" localSheetId="0">'2445'!$BL$105</definedName>
    <definedName name="OSRRefD93_3x_0_31" localSheetId="0">'2445'!$BN$105</definedName>
    <definedName name="OSRRefD93_3x_0_32" localSheetId="0">'2445'!$BP$105</definedName>
    <definedName name="OSRRefD93_3x_0_33" localSheetId="0">'2445'!$BR$105</definedName>
    <definedName name="OSRRefD93_3x_0_34" localSheetId="0">'2445'!$BT$105</definedName>
    <definedName name="OSRRefD93_3x_0_35" localSheetId="0">'2445'!$BV$105</definedName>
    <definedName name="OSRRefD93_3x_0_36" localSheetId="0">'2445'!$BX$105</definedName>
    <definedName name="OSRRefD93_3x_0_37" localSheetId="0">'2445'!$BZ$105</definedName>
    <definedName name="OSRRefD93_3x_0_38" localSheetId="0">'2445'!$CB$105</definedName>
    <definedName name="OSRRefD93_3x_0_39" localSheetId="0">'2445'!$CD$105</definedName>
    <definedName name="OSRRefD93_3x_0_4" localSheetId="0">'2445'!$L$105</definedName>
    <definedName name="OSRRefD93_3x_0_40" localSheetId="0">'2445'!$CF$105</definedName>
    <definedName name="OSRRefD93_3x_0_41" localSheetId="0">'2445'!$CH$105</definedName>
    <definedName name="OSRRefD93_3x_0_42" localSheetId="0">'2445'!$CJ$105</definedName>
    <definedName name="OSRRefD93_3x_0_43" localSheetId="0">'2445'!$CL$105</definedName>
    <definedName name="OSRRefD93_3x_0_44" localSheetId="0">'2445'!$CN$105</definedName>
    <definedName name="OSRRefD93_3x_0_45" localSheetId="0">'2445'!$CP$105</definedName>
    <definedName name="OSRRefD93_3x_0_46" localSheetId="0">'2445'!$CR$105</definedName>
    <definedName name="OSRRefD93_3x_0_47" localSheetId="0">'2445'!$CT$105</definedName>
    <definedName name="OSRRefD93_3x_0_48" localSheetId="0">'2445'!$CV$105</definedName>
    <definedName name="OSRRefD93_3x_0_49" localSheetId="0">'2445'!$CX$105</definedName>
    <definedName name="OSRRefD93_3x_0_5" localSheetId="0">'2445'!$N$105</definedName>
    <definedName name="OSRRefD93_3x_0_50" localSheetId="0">'2445'!$CZ$105</definedName>
    <definedName name="OSRRefD93_3x_0_51" localSheetId="0">'2445'!$DB$105</definedName>
    <definedName name="OSRRefD93_3x_0_6" localSheetId="0">'2445'!$P$105</definedName>
    <definedName name="OSRRefD93_3x_0_7" localSheetId="0">'2445'!$R$105</definedName>
    <definedName name="OSRRefD93_3x_0_8" localSheetId="0">'2445'!$T$105</definedName>
    <definedName name="OSRRefD93_3x_0_9" localSheetId="0">'2445'!$V$105</definedName>
    <definedName name="OSRRefD93_4_0x_0" localSheetId="0">'2445'!$D$108,'2445'!$F$108,'2445'!$H$108,'2445'!$J$108,'2445'!$L$108,'2445'!$N$108,'2445'!$P$108,'2445'!$R$108,'2445'!$T$108,'2445'!$V$108,'2445'!$X$108,'2445'!$Z$108,'2445'!$AB$108,'2445'!$AD$108,'2445'!$AF$108,'2445'!$AH$108,'2445'!$AJ$108,'2445'!$AL$108,'2445'!$AN$108,'2445'!$AP$108,'2445'!$AR$108,'2445'!$AT$108,'2445'!$AV$108,'2445'!$AX$108,'2445'!$AZ$108,'2445'!$BB$108,'2445'!$BD$108,'2445'!$BF$108,'2445'!$BH$108,'2445'!$BJ$108,'2445'!$BL$108,'2445'!$BN$108,'2445'!$BP$108,'2445'!$BR$108,'2445'!$BT$108,'2445'!$BV$108,'2445'!$BX$108,'2445'!$BZ$108,'2445'!$CB$108,'2445'!$CD$108,'2445'!$CF$108,'2445'!$CH$108,'2445'!$CJ$108,'2445'!$CL$108,'2445'!$CN$108,'2445'!$CP$108,'2445'!$CR$108,'2445'!$CT$108,'2445'!$CV$108,'2445'!$CX$108,'2445'!$CZ$108,'2445'!$DB$108</definedName>
    <definedName name="OSRRefD93_4_1x_0" localSheetId="0">'2445'!$D$109,'2445'!$F$109,'2445'!$H$109,'2445'!$J$109,'2445'!$L$109,'2445'!$N$109,'2445'!$P$109,'2445'!$R$109,'2445'!$T$109,'2445'!$V$109,'2445'!$X$109,'2445'!$Z$109,'2445'!$AB$109,'2445'!$AD$109,'2445'!$AF$109,'2445'!$AH$109,'2445'!$AJ$109,'2445'!$AL$109,'2445'!$AN$109,'2445'!$AP$109,'2445'!$AR$109,'2445'!$AT$109,'2445'!$AV$109,'2445'!$AX$109,'2445'!$AZ$109,'2445'!$BB$109,'2445'!$BD$109,'2445'!$BF$109,'2445'!$BH$109,'2445'!$BJ$109,'2445'!$BL$109,'2445'!$BN$109,'2445'!$BP$109,'2445'!$BR$109,'2445'!$BT$109,'2445'!$BV$109,'2445'!$BX$109,'2445'!$BZ$109,'2445'!$CB$109,'2445'!$CD$109,'2445'!$CF$109,'2445'!$CH$109,'2445'!$CJ$109,'2445'!$CL$109,'2445'!$CN$109,'2445'!$CP$109,'2445'!$CR$109,'2445'!$CT$109,'2445'!$CV$109,'2445'!$CX$109,'2445'!$CZ$109,'2445'!$DB$109</definedName>
    <definedName name="OSRRefD93_4_2x_0" localSheetId="0">'2445'!$D$110,'2445'!$F$110,'2445'!$H$110,'2445'!$J$110,'2445'!$L$110,'2445'!$N$110,'2445'!$P$110,'2445'!$R$110,'2445'!$T$110,'2445'!$V$110,'2445'!$X$110,'2445'!$Z$110,'2445'!$AB$110,'2445'!$AD$110,'2445'!$AF$110,'2445'!$AH$110,'2445'!$AJ$110,'2445'!$AL$110,'2445'!$AN$110,'2445'!$AP$110,'2445'!$AR$110,'2445'!$AT$110,'2445'!$AV$110,'2445'!$AX$110,'2445'!$AZ$110,'2445'!$BB$110,'2445'!$BD$110,'2445'!$BF$110,'2445'!$BH$110,'2445'!$BJ$110,'2445'!$BL$110,'2445'!$BN$110,'2445'!$BP$110,'2445'!$BR$110,'2445'!$BT$110,'2445'!$BV$110,'2445'!$BX$110,'2445'!$BZ$110,'2445'!$CB$110,'2445'!$CD$110,'2445'!$CF$110,'2445'!$CH$110,'2445'!$CJ$110,'2445'!$CL$110,'2445'!$CN$110,'2445'!$CP$110,'2445'!$CR$110,'2445'!$CT$110,'2445'!$CV$110,'2445'!$CX$110,'2445'!$CZ$110,'2445'!$DB$110</definedName>
    <definedName name="OSRRefD93_4x_0_0" localSheetId="0">'2445'!$D$108:$D$110</definedName>
    <definedName name="OSRRefD93_4x_0_1" localSheetId="0">'2445'!$F$108:$F$110</definedName>
    <definedName name="OSRRefD93_4x_0_10" localSheetId="0">'2445'!$X$108:$X$110</definedName>
    <definedName name="OSRRefD93_4x_0_11" localSheetId="0">'2445'!$Z$108:$Z$110</definedName>
    <definedName name="OSRRefD93_4x_0_12" localSheetId="0">'2445'!$AB$108:$AB$110</definedName>
    <definedName name="OSRRefD93_4x_0_13" localSheetId="0">'2445'!$AD$108:$AD$110</definedName>
    <definedName name="OSRRefD93_4x_0_14" localSheetId="0">'2445'!$AF$108:$AF$110</definedName>
    <definedName name="OSRRefD93_4x_0_15" localSheetId="0">'2445'!$AH$108:$AH$110</definedName>
    <definedName name="OSRRefD93_4x_0_16" localSheetId="0">'2445'!$AJ$108:$AJ$110</definedName>
    <definedName name="OSRRefD93_4x_0_17" localSheetId="0">'2445'!$AL$108:$AL$110</definedName>
    <definedName name="OSRRefD93_4x_0_18" localSheetId="0">'2445'!$AN$108:$AN$110</definedName>
    <definedName name="OSRRefD93_4x_0_19" localSheetId="0">'2445'!$AP$108:$AP$110</definedName>
    <definedName name="OSRRefD93_4x_0_2" localSheetId="0">'2445'!$H$108:$H$110</definedName>
    <definedName name="OSRRefD93_4x_0_20" localSheetId="0">'2445'!$AR$108:$AR$110</definedName>
    <definedName name="OSRRefD93_4x_0_21" localSheetId="0">'2445'!$AT$108:$AT$110</definedName>
    <definedName name="OSRRefD93_4x_0_22" localSheetId="0">'2445'!$AV$108:$AV$110</definedName>
    <definedName name="OSRRefD93_4x_0_23" localSheetId="0">'2445'!$AX$108:$AX$110</definedName>
    <definedName name="OSRRefD93_4x_0_24" localSheetId="0">'2445'!$AZ$108:$AZ$110</definedName>
    <definedName name="OSRRefD93_4x_0_25" localSheetId="0">'2445'!$BB$108:$BB$110</definedName>
    <definedName name="OSRRefD93_4x_0_26" localSheetId="0">'2445'!$BD$108:$BD$110</definedName>
    <definedName name="OSRRefD93_4x_0_27" localSheetId="0">'2445'!$BF$108:$BF$110</definedName>
    <definedName name="OSRRefD93_4x_0_28" localSheetId="0">'2445'!$BH$108:$BH$110</definedName>
    <definedName name="OSRRefD93_4x_0_29" localSheetId="0">'2445'!$BJ$108:$BJ$110</definedName>
    <definedName name="OSRRefD93_4x_0_3" localSheetId="0">'2445'!$J$108:$J$110</definedName>
    <definedName name="OSRRefD93_4x_0_30" localSheetId="0">'2445'!$BL$108:$BL$110</definedName>
    <definedName name="OSRRefD93_4x_0_31" localSheetId="0">'2445'!$BN$108:$BN$110</definedName>
    <definedName name="OSRRefD93_4x_0_32" localSheetId="0">'2445'!$BP$108:$BP$110</definedName>
    <definedName name="OSRRefD93_4x_0_33" localSheetId="0">'2445'!$BR$108:$BR$110</definedName>
    <definedName name="OSRRefD93_4x_0_34" localSheetId="0">'2445'!$BT$108:$BT$110</definedName>
    <definedName name="OSRRefD93_4x_0_35" localSheetId="0">'2445'!$BV$108:$BV$110</definedName>
    <definedName name="OSRRefD93_4x_0_36" localSheetId="0">'2445'!$BX$108:$BX$110</definedName>
    <definedName name="OSRRefD93_4x_0_37" localSheetId="0">'2445'!$BZ$108:$BZ$110</definedName>
    <definedName name="OSRRefD93_4x_0_38" localSheetId="0">'2445'!$CB$108:$CB$110</definedName>
    <definedName name="OSRRefD93_4x_0_39" localSheetId="0">'2445'!$CD$108:$CD$110</definedName>
    <definedName name="OSRRefD93_4x_0_4" localSheetId="0">'2445'!$L$108:$L$110</definedName>
    <definedName name="OSRRefD93_4x_0_40" localSheetId="0">'2445'!$CF$108:$CF$110</definedName>
    <definedName name="OSRRefD93_4x_0_41" localSheetId="0">'2445'!$CH$108:$CH$110</definedName>
    <definedName name="OSRRefD93_4x_0_42" localSheetId="0">'2445'!$CJ$108:$CJ$110</definedName>
    <definedName name="OSRRefD93_4x_0_43" localSheetId="0">'2445'!$CL$108:$CL$110</definedName>
    <definedName name="OSRRefD93_4x_0_44" localSheetId="0">'2445'!$CN$108:$CN$110</definedName>
    <definedName name="OSRRefD93_4x_0_45" localSheetId="0">'2445'!$CP$108:$CP$110</definedName>
    <definedName name="OSRRefD93_4x_0_46" localSheetId="0">'2445'!$CR$108:$CR$110</definedName>
    <definedName name="OSRRefD93_4x_0_47" localSheetId="0">'2445'!$CT$108:$CT$110</definedName>
    <definedName name="OSRRefD93_4x_0_48" localSheetId="0">'2445'!$CV$108:$CV$110</definedName>
    <definedName name="OSRRefD93_4x_0_49" localSheetId="0">'2445'!$CX$108:$CX$110</definedName>
    <definedName name="OSRRefD93_4x_0_5" localSheetId="0">'2445'!$N$108:$N$110</definedName>
    <definedName name="OSRRefD93_4x_0_50" localSheetId="0">'2445'!$CZ$108:$CZ$110</definedName>
    <definedName name="OSRRefD93_4x_0_51" localSheetId="0">'2445'!$DB$108:$DB$110</definedName>
    <definedName name="OSRRefD93_4x_0_6" localSheetId="0">'2445'!$P$108:$P$110</definedName>
    <definedName name="OSRRefD93_4x_0_7" localSheetId="0">'2445'!$R$108:$R$110</definedName>
    <definedName name="OSRRefD93_4x_0_8" localSheetId="0">'2445'!$T$108:$T$110</definedName>
    <definedName name="OSRRefD93_4x_0_9" localSheetId="0">'2445'!$V$108:$V$110</definedName>
    <definedName name="OSRRefD93_5_0x_0" localSheetId="0">'2445'!$D$113,'2445'!$F$113,'2445'!$H$113,'2445'!$J$113,'2445'!$L$113,'2445'!$N$113,'2445'!$P$113,'2445'!$R$113,'2445'!$T$113,'2445'!$V$113,'2445'!$X$113,'2445'!$Z$113,'2445'!$AB$113,'2445'!$AD$113,'2445'!$AF$113,'2445'!$AH$113,'2445'!$AJ$113,'2445'!$AL$113,'2445'!$AN$113,'2445'!$AP$113,'2445'!$AR$113,'2445'!$AT$113,'2445'!$AV$113,'2445'!$AX$113,'2445'!$AZ$113,'2445'!$BB$113,'2445'!$BD$113,'2445'!$BF$113,'2445'!$BH$113,'2445'!$BJ$113,'2445'!$BL$113,'2445'!$BN$113,'2445'!$BP$113,'2445'!$BR$113,'2445'!$BT$113,'2445'!$BV$113,'2445'!$BX$113,'2445'!$BZ$113,'2445'!$CB$113,'2445'!$CD$113,'2445'!$CF$113,'2445'!$CH$113,'2445'!$CJ$113,'2445'!$CL$113,'2445'!$CN$113,'2445'!$CP$113,'2445'!$CR$113,'2445'!$CT$113,'2445'!$CV$113,'2445'!$CX$113,'2445'!$CZ$113,'2445'!$DB$113</definedName>
    <definedName name="OSRRefD93_5x_0_0" localSheetId="0">'2445'!$D$113</definedName>
    <definedName name="OSRRefD93_5x_0_1" localSheetId="0">'2445'!$F$113</definedName>
    <definedName name="OSRRefD93_5x_0_10" localSheetId="0">'2445'!$X$113</definedName>
    <definedName name="OSRRefD93_5x_0_11" localSheetId="0">'2445'!$Z$113</definedName>
    <definedName name="OSRRefD93_5x_0_12" localSheetId="0">'2445'!$AB$113</definedName>
    <definedName name="OSRRefD93_5x_0_13" localSheetId="0">'2445'!$AD$113</definedName>
    <definedName name="OSRRefD93_5x_0_14" localSheetId="0">'2445'!$AF$113</definedName>
    <definedName name="OSRRefD93_5x_0_15" localSheetId="0">'2445'!$AH$113</definedName>
    <definedName name="OSRRefD93_5x_0_16" localSheetId="0">'2445'!$AJ$113</definedName>
    <definedName name="OSRRefD93_5x_0_17" localSheetId="0">'2445'!$AL$113</definedName>
    <definedName name="OSRRefD93_5x_0_18" localSheetId="0">'2445'!$AN$113</definedName>
    <definedName name="OSRRefD93_5x_0_19" localSheetId="0">'2445'!$AP$113</definedName>
    <definedName name="OSRRefD93_5x_0_2" localSheetId="0">'2445'!$H$113</definedName>
    <definedName name="OSRRefD93_5x_0_20" localSheetId="0">'2445'!$AR$113</definedName>
    <definedName name="OSRRefD93_5x_0_21" localSheetId="0">'2445'!$AT$113</definedName>
    <definedName name="OSRRefD93_5x_0_22" localSheetId="0">'2445'!$AV$113</definedName>
    <definedName name="OSRRefD93_5x_0_23" localSheetId="0">'2445'!$AX$113</definedName>
    <definedName name="OSRRefD93_5x_0_24" localSheetId="0">'2445'!$AZ$113</definedName>
    <definedName name="OSRRefD93_5x_0_25" localSheetId="0">'2445'!$BB$113</definedName>
    <definedName name="OSRRefD93_5x_0_26" localSheetId="0">'2445'!$BD$113</definedName>
    <definedName name="OSRRefD93_5x_0_27" localSheetId="0">'2445'!$BF$113</definedName>
    <definedName name="OSRRefD93_5x_0_28" localSheetId="0">'2445'!$BH$113</definedName>
    <definedName name="OSRRefD93_5x_0_29" localSheetId="0">'2445'!$BJ$113</definedName>
    <definedName name="OSRRefD93_5x_0_3" localSheetId="0">'2445'!$J$113</definedName>
    <definedName name="OSRRefD93_5x_0_30" localSheetId="0">'2445'!$BL$113</definedName>
    <definedName name="OSRRefD93_5x_0_31" localSheetId="0">'2445'!$BN$113</definedName>
    <definedName name="OSRRefD93_5x_0_32" localSheetId="0">'2445'!$BP$113</definedName>
    <definedName name="OSRRefD93_5x_0_33" localSheetId="0">'2445'!$BR$113</definedName>
    <definedName name="OSRRefD93_5x_0_34" localSheetId="0">'2445'!$BT$113</definedName>
    <definedName name="OSRRefD93_5x_0_35" localSheetId="0">'2445'!$BV$113</definedName>
    <definedName name="OSRRefD93_5x_0_36" localSheetId="0">'2445'!$BX$113</definedName>
    <definedName name="OSRRefD93_5x_0_37" localSheetId="0">'2445'!$BZ$113</definedName>
    <definedName name="OSRRefD93_5x_0_38" localSheetId="0">'2445'!$CB$113</definedName>
    <definedName name="OSRRefD93_5x_0_39" localSheetId="0">'2445'!$CD$113</definedName>
    <definedName name="OSRRefD93_5x_0_4" localSheetId="0">'2445'!$L$113</definedName>
    <definedName name="OSRRefD93_5x_0_40" localSheetId="0">'2445'!$CF$113</definedName>
    <definedName name="OSRRefD93_5x_0_41" localSheetId="0">'2445'!$CH$113</definedName>
    <definedName name="OSRRefD93_5x_0_42" localSheetId="0">'2445'!$CJ$113</definedName>
    <definedName name="OSRRefD93_5x_0_43" localSheetId="0">'2445'!$CL$113</definedName>
    <definedName name="OSRRefD93_5x_0_44" localSheetId="0">'2445'!$CN$113</definedName>
    <definedName name="OSRRefD93_5x_0_45" localSheetId="0">'2445'!$CP$113</definedName>
    <definedName name="OSRRefD93_5x_0_46" localSheetId="0">'2445'!$CR$113</definedName>
    <definedName name="OSRRefD93_5x_0_47" localSheetId="0">'2445'!$CT$113</definedName>
    <definedName name="OSRRefD93_5x_0_48" localSheetId="0">'2445'!$CV$113</definedName>
    <definedName name="OSRRefD93_5x_0_49" localSheetId="0">'2445'!$CX$113</definedName>
    <definedName name="OSRRefD93_5x_0_5" localSheetId="0">'2445'!$N$113</definedName>
    <definedName name="OSRRefD93_5x_0_50" localSheetId="0">'2445'!$CZ$113</definedName>
    <definedName name="OSRRefD93_5x_0_51" localSheetId="0">'2445'!$DB$113</definedName>
    <definedName name="OSRRefD93_5x_0_6" localSheetId="0">'2445'!$P$113</definedName>
    <definedName name="OSRRefD93_5x_0_7" localSheetId="0">'2445'!$R$113</definedName>
    <definedName name="OSRRefD93_5x_0_8" localSheetId="0">'2445'!$T$113</definedName>
    <definedName name="OSRRefD93_5x_0_9" localSheetId="0">'2445'!$V$113</definedName>
    <definedName name="OSRRefD93_6_0x_0" localSheetId="0">'2445'!$D$116,'2445'!$F$116,'2445'!$H$116,'2445'!$J$116,'2445'!$L$116,'2445'!$N$116,'2445'!$P$116,'2445'!$R$116,'2445'!$T$116,'2445'!$V$116,'2445'!$X$116,'2445'!$Z$116,'2445'!$AB$116,'2445'!$AD$116,'2445'!$AF$116,'2445'!$AH$116,'2445'!$AJ$116,'2445'!$AL$116,'2445'!$AN$116,'2445'!$AP$116,'2445'!$AR$116,'2445'!$AT$116,'2445'!$AV$116,'2445'!$AX$116,'2445'!$AZ$116,'2445'!$BB$116,'2445'!$BD$116,'2445'!$BF$116,'2445'!$BH$116,'2445'!$BJ$116,'2445'!$BL$116,'2445'!$BN$116,'2445'!$BP$116,'2445'!$BR$116,'2445'!$BT$116,'2445'!$BV$116,'2445'!$BX$116,'2445'!$BZ$116,'2445'!$CB$116,'2445'!$CD$116,'2445'!$CF$116,'2445'!$CH$116,'2445'!$CJ$116,'2445'!$CL$116,'2445'!$CN$116,'2445'!$CP$116,'2445'!$CR$116,'2445'!$CT$116,'2445'!$CV$116,'2445'!$CX$116,'2445'!$CZ$116,'2445'!$DB$116</definedName>
    <definedName name="OSRRefD93_6x_0_0" localSheetId="0">'2445'!$D$116</definedName>
    <definedName name="OSRRefD93_6x_0_1" localSheetId="0">'2445'!$F$116</definedName>
    <definedName name="OSRRefD93_6x_0_10" localSheetId="0">'2445'!$X$116</definedName>
    <definedName name="OSRRefD93_6x_0_11" localSheetId="0">'2445'!$Z$116</definedName>
    <definedName name="OSRRefD93_6x_0_12" localSheetId="0">'2445'!$AB$116</definedName>
    <definedName name="OSRRefD93_6x_0_13" localSheetId="0">'2445'!$AD$116</definedName>
    <definedName name="OSRRefD93_6x_0_14" localSheetId="0">'2445'!$AF$116</definedName>
    <definedName name="OSRRefD93_6x_0_15" localSheetId="0">'2445'!$AH$116</definedName>
    <definedName name="OSRRefD93_6x_0_16" localSheetId="0">'2445'!$AJ$116</definedName>
    <definedName name="OSRRefD93_6x_0_17" localSheetId="0">'2445'!$AL$116</definedName>
    <definedName name="OSRRefD93_6x_0_18" localSheetId="0">'2445'!$AN$116</definedName>
    <definedName name="OSRRefD93_6x_0_19" localSheetId="0">'2445'!$AP$116</definedName>
    <definedName name="OSRRefD93_6x_0_2" localSheetId="0">'2445'!$H$116</definedName>
    <definedName name="OSRRefD93_6x_0_20" localSheetId="0">'2445'!$AR$116</definedName>
    <definedName name="OSRRefD93_6x_0_21" localSheetId="0">'2445'!$AT$116</definedName>
    <definedName name="OSRRefD93_6x_0_22" localSheetId="0">'2445'!$AV$116</definedName>
    <definedName name="OSRRefD93_6x_0_23" localSheetId="0">'2445'!$AX$116</definedName>
    <definedName name="OSRRefD93_6x_0_24" localSheetId="0">'2445'!$AZ$116</definedName>
    <definedName name="OSRRefD93_6x_0_25" localSheetId="0">'2445'!$BB$116</definedName>
    <definedName name="OSRRefD93_6x_0_26" localSheetId="0">'2445'!$BD$116</definedName>
    <definedName name="OSRRefD93_6x_0_27" localSheetId="0">'2445'!$BF$116</definedName>
    <definedName name="OSRRefD93_6x_0_28" localSheetId="0">'2445'!$BH$116</definedName>
    <definedName name="OSRRefD93_6x_0_29" localSheetId="0">'2445'!$BJ$116</definedName>
    <definedName name="OSRRefD93_6x_0_3" localSheetId="0">'2445'!$J$116</definedName>
    <definedName name="OSRRefD93_6x_0_30" localSheetId="0">'2445'!$BL$116</definedName>
    <definedName name="OSRRefD93_6x_0_31" localSheetId="0">'2445'!$BN$116</definedName>
    <definedName name="OSRRefD93_6x_0_32" localSheetId="0">'2445'!$BP$116</definedName>
    <definedName name="OSRRefD93_6x_0_33" localSheetId="0">'2445'!$BR$116</definedName>
    <definedName name="OSRRefD93_6x_0_34" localSheetId="0">'2445'!$BT$116</definedName>
    <definedName name="OSRRefD93_6x_0_35" localSheetId="0">'2445'!$BV$116</definedName>
    <definedName name="OSRRefD93_6x_0_36" localSheetId="0">'2445'!$BX$116</definedName>
    <definedName name="OSRRefD93_6x_0_37" localSheetId="0">'2445'!$BZ$116</definedName>
    <definedName name="OSRRefD93_6x_0_38" localSheetId="0">'2445'!$CB$116</definedName>
    <definedName name="OSRRefD93_6x_0_39" localSheetId="0">'2445'!$CD$116</definedName>
    <definedName name="OSRRefD93_6x_0_4" localSheetId="0">'2445'!$L$116</definedName>
    <definedName name="OSRRefD93_6x_0_40" localSheetId="0">'2445'!$CF$116</definedName>
    <definedName name="OSRRefD93_6x_0_41" localSheetId="0">'2445'!$CH$116</definedName>
    <definedName name="OSRRefD93_6x_0_42" localSheetId="0">'2445'!$CJ$116</definedName>
    <definedName name="OSRRefD93_6x_0_43" localSheetId="0">'2445'!$CL$116</definedName>
    <definedName name="OSRRefD93_6x_0_44" localSheetId="0">'2445'!$CN$116</definedName>
    <definedName name="OSRRefD93_6x_0_45" localSheetId="0">'2445'!$CP$116</definedName>
    <definedName name="OSRRefD93_6x_0_46" localSheetId="0">'2445'!$CR$116</definedName>
    <definedName name="OSRRefD93_6x_0_47" localSheetId="0">'2445'!$CT$116</definedName>
    <definedName name="OSRRefD93_6x_0_48" localSheetId="0">'2445'!$CV$116</definedName>
    <definedName name="OSRRefD93_6x_0_49" localSheetId="0">'2445'!$CX$116</definedName>
    <definedName name="OSRRefD93_6x_0_5" localSheetId="0">'2445'!$N$116</definedName>
    <definedName name="OSRRefD93_6x_0_50" localSheetId="0">'2445'!$CZ$116</definedName>
    <definedName name="OSRRefD93_6x_0_51" localSheetId="0">'2445'!$DB$116</definedName>
    <definedName name="OSRRefD93_6x_0_6" localSheetId="0">'2445'!$P$116</definedName>
    <definedName name="OSRRefD93_6x_0_7" localSheetId="0">'2445'!$R$116</definedName>
    <definedName name="OSRRefD93_6x_0_8" localSheetId="0">'2445'!$T$116</definedName>
    <definedName name="OSRRefD93_6x_0_9" localSheetId="0">'2445'!$V$116</definedName>
    <definedName name="OSRRefD93_7_0x_0" localSheetId="0">'2445'!$D$119,'2445'!$F$119,'2445'!$H$119,'2445'!$J$119,'2445'!$L$119,'2445'!$N$119,'2445'!$P$119,'2445'!$R$119,'2445'!$T$119,'2445'!$V$119,'2445'!$X$119,'2445'!$Z$119,'2445'!$AB$119,'2445'!$AD$119,'2445'!$AF$119,'2445'!$AH$119,'2445'!$AJ$119,'2445'!$AL$119,'2445'!$AN$119,'2445'!$AP$119,'2445'!$AR$119,'2445'!$AT$119,'2445'!$AV$119,'2445'!$AX$119,'2445'!$AZ$119,'2445'!$BB$119,'2445'!$BD$119,'2445'!$BF$119,'2445'!$BH$119,'2445'!$BJ$119,'2445'!$BL$119,'2445'!$BN$119,'2445'!$BP$119,'2445'!$BR$119,'2445'!$BT$119,'2445'!$BV$119,'2445'!$BX$119,'2445'!$BZ$119,'2445'!$CB$119,'2445'!$CD$119,'2445'!$CF$119,'2445'!$CH$119,'2445'!$CJ$119,'2445'!$CL$119,'2445'!$CN$119,'2445'!$CP$119,'2445'!$CR$119,'2445'!$CT$119,'2445'!$CV$119,'2445'!$CX$119,'2445'!$CZ$119,'2445'!$DB$119</definedName>
    <definedName name="OSRRefD93_7x_0_0" localSheetId="0">'2445'!$D$119</definedName>
    <definedName name="OSRRefD93_7x_0_1" localSheetId="0">'2445'!$F$119</definedName>
    <definedName name="OSRRefD93_7x_0_10" localSheetId="0">'2445'!$X$119</definedName>
    <definedName name="OSRRefD93_7x_0_11" localSheetId="0">'2445'!$Z$119</definedName>
    <definedName name="OSRRefD93_7x_0_12" localSheetId="0">'2445'!$AB$119</definedName>
    <definedName name="OSRRefD93_7x_0_13" localSheetId="0">'2445'!$AD$119</definedName>
    <definedName name="OSRRefD93_7x_0_14" localSheetId="0">'2445'!$AF$119</definedName>
    <definedName name="OSRRefD93_7x_0_15" localSheetId="0">'2445'!$AH$119</definedName>
    <definedName name="OSRRefD93_7x_0_16" localSheetId="0">'2445'!$AJ$119</definedName>
    <definedName name="OSRRefD93_7x_0_17" localSheetId="0">'2445'!$AL$119</definedName>
    <definedName name="OSRRefD93_7x_0_18" localSheetId="0">'2445'!$AN$119</definedName>
    <definedName name="OSRRefD93_7x_0_19" localSheetId="0">'2445'!$AP$119</definedName>
    <definedName name="OSRRefD93_7x_0_2" localSheetId="0">'2445'!$H$119</definedName>
    <definedName name="OSRRefD93_7x_0_20" localSheetId="0">'2445'!$AR$119</definedName>
    <definedName name="OSRRefD93_7x_0_21" localSheetId="0">'2445'!$AT$119</definedName>
    <definedName name="OSRRefD93_7x_0_22" localSheetId="0">'2445'!$AV$119</definedName>
    <definedName name="OSRRefD93_7x_0_23" localSheetId="0">'2445'!$AX$119</definedName>
    <definedName name="OSRRefD93_7x_0_24" localSheetId="0">'2445'!$AZ$119</definedName>
    <definedName name="OSRRefD93_7x_0_25" localSheetId="0">'2445'!$BB$119</definedName>
    <definedName name="OSRRefD93_7x_0_26" localSheetId="0">'2445'!$BD$119</definedName>
    <definedName name="OSRRefD93_7x_0_27" localSheetId="0">'2445'!$BF$119</definedName>
    <definedName name="OSRRefD93_7x_0_28" localSheetId="0">'2445'!$BH$119</definedName>
    <definedName name="OSRRefD93_7x_0_29" localSheetId="0">'2445'!$BJ$119</definedName>
    <definedName name="OSRRefD93_7x_0_3" localSheetId="0">'2445'!$J$119</definedName>
    <definedName name="OSRRefD93_7x_0_30" localSheetId="0">'2445'!$BL$119</definedName>
    <definedName name="OSRRefD93_7x_0_31" localSheetId="0">'2445'!$BN$119</definedName>
    <definedName name="OSRRefD93_7x_0_32" localSheetId="0">'2445'!$BP$119</definedName>
    <definedName name="OSRRefD93_7x_0_33" localSheetId="0">'2445'!$BR$119</definedName>
    <definedName name="OSRRefD93_7x_0_34" localSheetId="0">'2445'!$BT$119</definedName>
    <definedName name="OSRRefD93_7x_0_35" localSheetId="0">'2445'!$BV$119</definedName>
    <definedName name="OSRRefD93_7x_0_36" localSheetId="0">'2445'!$BX$119</definedName>
    <definedName name="OSRRefD93_7x_0_37" localSheetId="0">'2445'!$BZ$119</definedName>
    <definedName name="OSRRefD93_7x_0_38" localSheetId="0">'2445'!$CB$119</definedName>
    <definedName name="OSRRefD93_7x_0_39" localSheetId="0">'2445'!$CD$119</definedName>
    <definedName name="OSRRefD93_7x_0_4" localSheetId="0">'2445'!$L$119</definedName>
    <definedName name="OSRRefD93_7x_0_40" localSheetId="0">'2445'!$CF$119</definedName>
    <definedName name="OSRRefD93_7x_0_41" localSheetId="0">'2445'!$CH$119</definedName>
    <definedName name="OSRRefD93_7x_0_42" localSheetId="0">'2445'!$CJ$119</definedName>
    <definedName name="OSRRefD93_7x_0_43" localSheetId="0">'2445'!$CL$119</definedName>
    <definedName name="OSRRefD93_7x_0_44" localSheetId="0">'2445'!$CN$119</definedName>
    <definedName name="OSRRefD93_7x_0_45" localSheetId="0">'2445'!$CP$119</definedName>
    <definedName name="OSRRefD93_7x_0_46" localSheetId="0">'2445'!$CR$119</definedName>
    <definedName name="OSRRefD93_7x_0_47" localSheetId="0">'2445'!$CT$119</definedName>
    <definedName name="OSRRefD93_7x_0_48" localSheetId="0">'2445'!$CV$119</definedName>
    <definedName name="OSRRefD93_7x_0_49" localSheetId="0">'2445'!$CX$119</definedName>
    <definedName name="OSRRefD93_7x_0_5" localSheetId="0">'2445'!$N$119</definedName>
    <definedName name="OSRRefD93_7x_0_50" localSheetId="0">'2445'!$CZ$119</definedName>
    <definedName name="OSRRefD93_7x_0_51" localSheetId="0">'2445'!$DB$119</definedName>
    <definedName name="OSRRefD93_7x_0_6" localSheetId="0">'2445'!$P$119</definedName>
    <definedName name="OSRRefD93_7x_0_7" localSheetId="0">'2445'!$R$119</definedName>
    <definedName name="OSRRefD93_7x_0_8" localSheetId="0">'2445'!$T$119</definedName>
    <definedName name="OSRRefD93_7x_0_9" localSheetId="0">'2445'!$V$119</definedName>
    <definedName name="OSRRefD94x_0_0" localSheetId="0">'2445'!$D$97,'2445'!$D$100,'2445'!$D$103,'2445'!$D$106,'2445'!$D$111,'2445'!$D$114,'2445'!$D$117,'2445'!$D$120</definedName>
    <definedName name="OSRRefD94x_0_1" localSheetId="0">'2445'!$F$97,'2445'!$F$100,'2445'!$F$103,'2445'!$F$106,'2445'!$F$111,'2445'!$F$114,'2445'!$F$117,'2445'!$F$120</definedName>
    <definedName name="OSRRefD94x_0_10" localSheetId="0">'2445'!$X$97,'2445'!$X$100,'2445'!$X$103,'2445'!$X$106,'2445'!$X$111,'2445'!$X$114,'2445'!$X$117,'2445'!$X$120</definedName>
    <definedName name="OSRRefD94x_0_11" localSheetId="0">'2445'!$Z$97,'2445'!$Z$100,'2445'!$Z$103,'2445'!$Z$106,'2445'!$Z$111,'2445'!$Z$114,'2445'!$Z$117,'2445'!$Z$120</definedName>
    <definedName name="OSRRefD94x_0_12" localSheetId="0">'2445'!$AB$97,'2445'!$AB$100,'2445'!$AB$103,'2445'!$AB$106,'2445'!$AB$111,'2445'!$AB$114,'2445'!$AB$117,'2445'!$AB$120</definedName>
    <definedName name="OSRRefD94x_0_13" localSheetId="0">'2445'!$AD$97,'2445'!$AD$100,'2445'!$AD$103,'2445'!$AD$106,'2445'!$AD$111,'2445'!$AD$114,'2445'!$AD$117,'2445'!$AD$120</definedName>
    <definedName name="OSRRefD94x_0_14" localSheetId="0">'2445'!$AF$97,'2445'!$AF$100,'2445'!$AF$103,'2445'!$AF$106,'2445'!$AF$111,'2445'!$AF$114,'2445'!$AF$117,'2445'!$AF$120</definedName>
    <definedName name="OSRRefD94x_0_15" localSheetId="0">'2445'!$AH$97,'2445'!$AH$100,'2445'!$AH$103,'2445'!$AH$106,'2445'!$AH$111,'2445'!$AH$114,'2445'!$AH$117,'2445'!$AH$120</definedName>
    <definedName name="OSRRefD94x_0_16" localSheetId="0">'2445'!$AJ$97,'2445'!$AJ$100,'2445'!$AJ$103,'2445'!$AJ$106,'2445'!$AJ$111,'2445'!$AJ$114,'2445'!$AJ$117,'2445'!$AJ$120</definedName>
    <definedName name="OSRRefD94x_0_17" localSheetId="0">'2445'!$AL$97,'2445'!$AL$100,'2445'!$AL$103,'2445'!$AL$106,'2445'!$AL$111,'2445'!$AL$114,'2445'!$AL$117,'2445'!$AL$120</definedName>
    <definedName name="OSRRefD94x_0_18" localSheetId="0">'2445'!$AN$97,'2445'!$AN$100,'2445'!$AN$103,'2445'!$AN$106,'2445'!$AN$111,'2445'!$AN$114,'2445'!$AN$117,'2445'!$AN$120</definedName>
    <definedName name="OSRRefD94x_0_19" localSheetId="0">'2445'!$AP$97,'2445'!$AP$100,'2445'!$AP$103,'2445'!$AP$106,'2445'!$AP$111,'2445'!$AP$114,'2445'!$AP$117,'2445'!$AP$120</definedName>
    <definedName name="OSRRefD94x_0_2" localSheetId="0">'2445'!$H$97,'2445'!$H$100,'2445'!$H$103,'2445'!$H$106,'2445'!$H$111,'2445'!$H$114,'2445'!$H$117,'2445'!$H$120</definedName>
    <definedName name="OSRRefD94x_0_20" localSheetId="0">'2445'!$AR$97,'2445'!$AR$100,'2445'!$AR$103,'2445'!$AR$106,'2445'!$AR$111,'2445'!$AR$114,'2445'!$AR$117,'2445'!$AR$120</definedName>
    <definedName name="OSRRefD94x_0_21" localSheetId="0">'2445'!$AT$97,'2445'!$AT$100,'2445'!$AT$103,'2445'!$AT$106,'2445'!$AT$111,'2445'!$AT$114,'2445'!$AT$117,'2445'!$AT$120</definedName>
    <definedName name="OSRRefD94x_0_22" localSheetId="0">'2445'!$AV$97,'2445'!$AV$100,'2445'!$AV$103,'2445'!$AV$106,'2445'!$AV$111,'2445'!$AV$114,'2445'!$AV$117,'2445'!$AV$120</definedName>
    <definedName name="OSRRefD94x_0_23" localSheetId="0">'2445'!$AX$97,'2445'!$AX$100,'2445'!$AX$103,'2445'!$AX$106,'2445'!$AX$111,'2445'!$AX$114,'2445'!$AX$117,'2445'!$AX$120</definedName>
    <definedName name="OSRRefD94x_0_24" localSheetId="0">'2445'!$AZ$97,'2445'!$AZ$100,'2445'!$AZ$103,'2445'!$AZ$106,'2445'!$AZ$111,'2445'!$AZ$114,'2445'!$AZ$117,'2445'!$AZ$120</definedName>
    <definedName name="OSRRefD94x_0_25" localSheetId="0">'2445'!$BB$97,'2445'!$BB$100,'2445'!$BB$103,'2445'!$BB$106,'2445'!$BB$111,'2445'!$BB$114,'2445'!$BB$117,'2445'!$BB$120</definedName>
    <definedName name="OSRRefD94x_0_26" localSheetId="0">'2445'!$BD$97,'2445'!$BD$100,'2445'!$BD$103,'2445'!$BD$106,'2445'!$BD$111,'2445'!$BD$114,'2445'!$BD$117,'2445'!$BD$120</definedName>
    <definedName name="OSRRefD94x_0_27" localSheetId="0">'2445'!$BF$97,'2445'!$BF$100,'2445'!$BF$103,'2445'!$BF$106,'2445'!$BF$111,'2445'!$BF$114,'2445'!$BF$117,'2445'!$BF$120</definedName>
    <definedName name="OSRRefD94x_0_28" localSheetId="0">'2445'!$BH$97,'2445'!$BH$100,'2445'!$BH$103,'2445'!$BH$106,'2445'!$BH$111,'2445'!$BH$114,'2445'!$BH$117,'2445'!$BH$120</definedName>
    <definedName name="OSRRefD94x_0_29" localSheetId="0">'2445'!$BJ$97,'2445'!$BJ$100,'2445'!$BJ$103,'2445'!$BJ$106,'2445'!$BJ$111,'2445'!$BJ$114,'2445'!$BJ$117,'2445'!$BJ$120</definedName>
    <definedName name="OSRRefD94x_0_3" localSheetId="0">'2445'!$J$97,'2445'!$J$100,'2445'!$J$103,'2445'!$J$106,'2445'!$J$111,'2445'!$J$114,'2445'!$J$117,'2445'!$J$120</definedName>
    <definedName name="OSRRefD94x_0_30" localSheetId="0">'2445'!$BL$97,'2445'!$BL$100,'2445'!$BL$103,'2445'!$BL$106,'2445'!$BL$111,'2445'!$BL$114,'2445'!$BL$117,'2445'!$BL$120</definedName>
    <definedName name="OSRRefD94x_0_31" localSheetId="0">'2445'!$BN$97,'2445'!$BN$100,'2445'!$BN$103,'2445'!$BN$106,'2445'!$BN$111,'2445'!$BN$114,'2445'!$BN$117,'2445'!$BN$120</definedName>
    <definedName name="OSRRefD94x_0_32" localSheetId="0">'2445'!$BP$97,'2445'!$BP$100,'2445'!$BP$103,'2445'!$BP$106,'2445'!$BP$111,'2445'!$BP$114,'2445'!$BP$117,'2445'!$BP$120</definedName>
    <definedName name="OSRRefD94x_0_33" localSheetId="0">'2445'!$BR$97,'2445'!$BR$100,'2445'!$BR$103,'2445'!$BR$106,'2445'!$BR$111,'2445'!$BR$114,'2445'!$BR$117,'2445'!$BR$120</definedName>
    <definedName name="OSRRefD94x_0_34" localSheetId="0">'2445'!$BT$97,'2445'!$BT$100,'2445'!$BT$103,'2445'!$BT$106,'2445'!$BT$111,'2445'!$BT$114,'2445'!$BT$117,'2445'!$BT$120</definedName>
    <definedName name="OSRRefD94x_0_35" localSheetId="0">'2445'!$BV$97,'2445'!$BV$100,'2445'!$BV$103,'2445'!$BV$106,'2445'!$BV$111,'2445'!$BV$114,'2445'!$BV$117,'2445'!$BV$120</definedName>
    <definedName name="OSRRefD94x_0_36" localSheetId="0">'2445'!$BX$97,'2445'!$BX$100,'2445'!$BX$103,'2445'!$BX$106,'2445'!$BX$111,'2445'!$BX$114,'2445'!$BX$117,'2445'!$BX$120</definedName>
    <definedName name="OSRRefD94x_0_37" localSheetId="0">'2445'!$BZ$97,'2445'!$BZ$100,'2445'!$BZ$103,'2445'!$BZ$106,'2445'!$BZ$111,'2445'!$BZ$114,'2445'!$BZ$117,'2445'!$BZ$120</definedName>
    <definedName name="OSRRefD94x_0_38" localSheetId="0">'2445'!$CB$97,'2445'!$CB$100,'2445'!$CB$103,'2445'!$CB$106,'2445'!$CB$111,'2445'!$CB$114,'2445'!$CB$117,'2445'!$CB$120</definedName>
    <definedName name="OSRRefD94x_0_39" localSheetId="0">'2445'!$CD$97,'2445'!$CD$100,'2445'!$CD$103,'2445'!$CD$106,'2445'!$CD$111,'2445'!$CD$114,'2445'!$CD$117,'2445'!$CD$120</definedName>
    <definedName name="OSRRefD94x_0_4" localSheetId="0">'2445'!$L$97,'2445'!$L$100,'2445'!$L$103,'2445'!$L$106,'2445'!$L$111,'2445'!$L$114,'2445'!$L$117,'2445'!$L$120</definedName>
    <definedName name="OSRRefD94x_0_40" localSheetId="0">'2445'!$CF$97,'2445'!$CF$100,'2445'!$CF$103,'2445'!$CF$106,'2445'!$CF$111,'2445'!$CF$114,'2445'!$CF$117,'2445'!$CF$120</definedName>
    <definedName name="OSRRefD94x_0_41" localSheetId="0">'2445'!$CH$97,'2445'!$CH$100,'2445'!$CH$103,'2445'!$CH$106,'2445'!$CH$111,'2445'!$CH$114,'2445'!$CH$117,'2445'!$CH$120</definedName>
    <definedName name="OSRRefD94x_0_42" localSheetId="0">'2445'!$CJ$97,'2445'!$CJ$100,'2445'!$CJ$103,'2445'!$CJ$106,'2445'!$CJ$111,'2445'!$CJ$114,'2445'!$CJ$117,'2445'!$CJ$120</definedName>
    <definedName name="OSRRefD94x_0_43" localSheetId="0">'2445'!$CL$97,'2445'!$CL$100,'2445'!$CL$103,'2445'!$CL$106,'2445'!$CL$111,'2445'!$CL$114,'2445'!$CL$117,'2445'!$CL$120</definedName>
    <definedName name="OSRRefD94x_0_44" localSheetId="0">'2445'!$CN$97,'2445'!$CN$100,'2445'!$CN$103,'2445'!$CN$106,'2445'!$CN$111,'2445'!$CN$114,'2445'!$CN$117,'2445'!$CN$120</definedName>
    <definedName name="OSRRefD94x_0_45" localSheetId="0">'2445'!$CP$97,'2445'!$CP$100,'2445'!$CP$103,'2445'!$CP$106,'2445'!$CP$111,'2445'!$CP$114,'2445'!$CP$117,'2445'!$CP$120</definedName>
    <definedName name="OSRRefD94x_0_46" localSheetId="0">'2445'!$CR$97,'2445'!$CR$100,'2445'!$CR$103,'2445'!$CR$106,'2445'!$CR$111,'2445'!$CR$114,'2445'!$CR$117,'2445'!$CR$120</definedName>
    <definedName name="OSRRefD94x_0_47" localSheetId="0">'2445'!$CT$97,'2445'!$CT$100,'2445'!$CT$103,'2445'!$CT$106,'2445'!$CT$111,'2445'!$CT$114,'2445'!$CT$117,'2445'!$CT$120</definedName>
    <definedName name="OSRRefD94x_0_48" localSheetId="0">'2445'!$CV$97,'2445'!$CV$100,'2445'!$CV$103,'2445'!$CV$106,'2445'!$CV$111,'2445'!$CV$114,'2445'!$CV$117,'2445'!$CV$120</definedName>
    <definedName name="OSRRefD94x_0_49" localSheetId="0">'2445'!$CX$97,'2445'!$CX$100,'2445'!$CX$103,'2445'!$CX$106,'2445'!$CX$111,'2445'!$CX$114,'2445'!$CX$117,'2445'!$CX$120</definedName>
    <definedName name="OSRRefD94x_0_5" localSheetId="0">'2445'!$N$97,'2445'!$N$100,'2445'!$N$103,'2445'!$N$106,'2445'!$N$111,'2445'!$N$114,'2445'!$N$117,'2445'!$N$120</definedName>
    <definedName name="OSRRefD94x_0_50" localSheetId="0">'2445'!$CZ$97,'2445'!$CZ$100,'2445'!$CZ$103,'2445'!$CZ$106,'2445'!$CZ$111,'2445'!$CZ$114,'2445'!$CZ$117,'2445'!$CZ$120</definedName>
    <definedName name="OSRRefD94x_0_51" localSheetId="0">'2445'!$DB$97,'2445'!$DB$100,'2445'!$DB$103,'2445'!$DB$106,'2445'!$DB$111,'2445'!$DB$114,'2445'!$DB$117,'2445'!$DB$120</definedName>
    <definedName name="OSRRefD94x_0_6" localSheetId="0">'2445'!$P$97,'2445'!$P$100,'2445'!$P$103,'2445'!$P$106,'2445'!$P$111,'2445'!$P$114,'2445'!$P$117,'2445'!$P$120</definedName>
    <definedName name="OSRRefD94x_0_7" localSheetId="0">'2445'!$R$97,'2445'!$R$100,'2445'!$R$103,'2445'!$R$106,'2445'!$R$111,'2445'!$R$114,'2445'!$R$117,'2445'!$R$120</definedName>
    <definedName name="OSRRefD94x_0_8" localSheetId="0">'2445'!$T$97,'2445'!$T$100,'2445'!$T$103,'2445'!$T$106,'2445'!$T$111,'2445'!$T$114,'2445'!$T$117,'2445'!$T$120</definedName>
    <definedName name="OSRRefD94x_0_9" localSheetId="0">'2445'!$V$97,'2445'!$V$100,'2445'!$V$103,'2445'!$V$106,'2445'!$V$111,'2445'!$V$114,'2445'!$V$117,'2445'!$V$120</definedName>
    <definedName name="OSRRefF93_0x_0" localSheetId="0">'2445'!$DD$95:$DD$96</definedName>
    <definedName name="OSRRefF93_1x_0" localSheetId="0">'2445'!$DD$99</definedName>
    <definedName name="OSRRefF93_2x_0" localSheetId="0">'2445'!$DD$102</definedName>
    <definedName name="OSRRefF93_3x_0" localSheetId="0">'2445'!$DD$105</definedName>
    <definedName name="OSRRefF93_4x_0" localSheetId="0">'2445'!$DD$108:$DD$110</definedName>
    <definedName name="OSRRefF93_5x_0" localSheetId="0">'2445'!$DD$113</definedName>
    <definedName name="OSRRefF93_6x_0" localSheetId="0">'2445'!$DD$116</definedName>
    <definedName name="OSRRefF93_7x_0" localSheetId="0">'2445'!$DD$119</definedName>
    <definedName name="OSRRefF94x_0" localSheetId="0">'2445'!$DD$97,'2445'!$DD$100,'2445'!$DD$103,'2445'!$DD$106,'2445'!$DD$111,'2445'!$DD$114,'2445'!$DD$117,'2445'!$DD$120</definedName>
    <definedName name="_xlnm.Print_Area" localSheetId="0">'2445'!$B$2:$DE$124</definedName>
    <definedName name="_xlnm.Print_Area" localSheetId="2">OSR_Sheet1_62B2TS!$B$2:$G$98</definedName>
    <definedName name="_xlnm.Print_Area" localSheetId="3">'OSR_Sheet1_b...014d1a46_1UJHGWC'!$B$2:$G$98</definedName>
    <definedName name="_xlnm.Print_Area" localSheetId="1">Sheet1!$B$2:$G$98</definedName>
    <definedName name="_xlnm.Print_Titles" localSheetId="0">'2445'!$2:$9</definedName>
    <definedName name="_xlnm.Print_Titles" localSheetId="2">OSR_Sheet1_62B2TS!$2:$9</definedName>
    <definedName name="_xlnm.Print_Titles" localSheetId="3">'OSR_Sheet1_b...014d1a46_1UJHGWC'!$2:$9</definedName>
    <definedName name="_xlnm.Print_Titles" localSheetId="1">Sheet1!$2:$9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6" i="4" l="1"/>
  <c r="D96" i="4"/>
  <c r="F94" i="4"/>
  <c r="D94" i="4"/>
  <c r="C94" i="4"/>
  <c r="F93" i="4"/>
  <c r="D93" i="4"/>
  <c r="C93" i="4"/>
  <c r="B93" i="4"/>
  <c r="F87" i="4"/>
  <c r="F85" i="4"/>
  <c r="D85" i="4"/>
  <c r="D87" i="4" s="1"/>
  <c r="C85" i="4"/>
  <c r="B85" i="4"/>
  <c r="F83" i="4"/>
  <c r="F81" i="4"/>
  <c r="D81" i="4"/>
  <c r="D83" i="4" s="1"/>
  <c r="C81" i="4"/>
  <c r="B81" i="4"/>
  <c r="F79" i="4"/>
  <c r="D77" i="4"/>
  <c r="D79" i="4" s="1"/>
  <c r="C77" i="4"/>
  <c r="B77" i="4"/>
  <c r="F75" i="4"/>
  <c r="D73" i="4"/>
  <c r="C73" i="4"/>
  <c r="B73" i="4"/>
  <c r="F71" i="4"/>
  <c r="F69" i="4"/>
  <c r="D69" i="4"/>
  <c r="D71" i="4" s="1"/>
  <c r="C69" i="4"/>
  <c r="B69" i="4"/>
  <c r="F67" i="4"/>
  <c r="F65" i="4"/>
  <c r="D65" i="4"/>
  <c r="D67" i="4" s="1"/>
  <c r="C65" i="4"/>
  <c r="B65" i="4"/>
  <c r="F63" i="4"/>
  <c r="F61" i="4"/>
  <c r="D61" i="4"/>
  <c r="D63" i="4" s="1"/>
  <c r="C61" i="4"/>
  <c r="B61" i="4"/>
  <c r="F56" i="4"/>
  <c r="F55" i="4"/>
  <c r="F52" i="4"/>
  <c r="F49" i="4"/>
  <c r="F47" i="4"/>
  <c r="D47" i="4"/>
  <c r="C47" i="4"/>
  <c r="B47" i="4"/>
  <c r="F45" i="4"/>
  <c r="F43" i="4"/>
  <c r="D43" i="4"/>
  <c r="D45" i="4" s="1"/>
  <c r="C43" i="4"/>
  <c r="B43" i="4"/>
  <c r="F41" i="4"/>
  <c r="F39" i="4"/>
  <c r="F37" i="4"/>
  <c r="D37" i="4"/>
  <c r="C37" i="4"/>
  <c r="B37" i="4"/>
  <c r="F36" i="4"/>
  <c r="D36" i="4"/>
  <c r="C36" i="4"/>
  <c r="B36" i="4"/>
  <c r="F35" i="4"/>
  <c r="D35" i="4"/>
  <c r="C35" i="4"/>
  <c r="B35" i="4"/>
  <c r="F33" i="4"/>
  <c r="F31" i="4"/>
  <c r="F29" i="4"/>
  <c r="D29" i="4"/>
  <c r="D31" i="4" s="1"/>
  <c r="C29" i="4"/>
  <c r="B29" i="4"/>
  <c r="F28" i="4"/>
  <c r="F26" i="4"/>
  <c r="D26" i="4"/>
  <c r="D28" i="4" s="1"/>
  <c r="C26" i="4"/>
  <c r="B26" i="4"/>
  <c r="F25" i="4"/>
  <c r="F23" i="4"/>
  <c r="D23" i="4"/>
  <c r="D25" i="4" s="1"/>
  <c r="C23" i="4"/>
  <c r="B23" i="4"/>
  <c r="F21" i="4"/>
  <c r="F19" i="4"/>
  <c r="F17" i="4"/>
  <c r="D17" i="4"/>
  <c r="D19" i="4" s="1"/>
  <c r="C17" i="4"/>
  <c r="B17" i="4"/>
  <c r="F15" i="4"/>
  <c r="F13" i="4"/>
  <c r="D13" i="4"/>
  <c r="F11" i="4"/>
  <c r="D11" i="4"/>
  <c r="D8" i="4"/>
  <c r="D7" i="4"/>
  <c r="B5" i="4"/>
  <c r="B4" i="4"/>
  <c r="B3" i="4"/>
  <c r="F96" i="3"/>
  <c r="D96" i="3"/>
  <c r="F94" i="3"/>
  <c r="D94" i="3"/>
  <c r="C94" i="3"/>
  <c r="F93" i="3"/>
  <c r="D93" i="3"/>
  <c r="C93" i="3"/>
  <c r="B93" i="3"/>
  <c r="F87" i="3"/>
  <c r="F85" i="3"/>
  <c r="D85" i="3"/>
  <c r="D87" i="3" s="1"/>
  <c r="C85" i="3"/>
  <c r="B85" i="3"/>
  <c r="F83" i="3"/>
  <c r="F81" i="3"/>
  <c r="D81" i="3"/>
  <c r="D83" i="3" s="1"/>
  <c r="C81" i="3"/>
  <c r="B81" i="3"/>
  <c r="F79" i="3"/>
  <c r="D77" i="3"/>
  <c r="D79" i="3" s="1"/>
  <c r="C77" i="3"/>
  <c r="B77" i="3"/>
  <c r="F75" i="3"/>
  <c r="D73" i="3"/>
  <c r="C73" i="3"/>
  <c r="B73" i="3"/>
  <c r="F71" i="3"/>
  <c r="F69" i="3"/>
  <c r="D69" i="3"/>
  <c r="D71" i="3" s="1"/>
  <c r="C69" i="3"/>
  <c r="B69" i="3"/>
  <c r="F67" i="3"/>
  <c r="F65" i="3"/>
  <c r="D65" i="3"/>
  <c r="D67" i="3" s="1"/>
  <c r="C65" i="3"/>
  <c r="B65" i="3"/>
  <c r="F63" i="3"/>
  <c r="F61" i="3"/>
  <c r="D61" i="3"/>
  <c r="D63" i="3" s="1"/>
  <c r="C61" i="3"/>
  <c r="B61" i="3"/>
  <c r="F56" i="3"/>
  <c r="F55" i="3"/>
  <c r="F52" i="3"/>
  <c r="F49" i="3"/>
  <c r="F47" i="3"/>
  <c r="D47" i="3"/>
  <c r="D49" i="3" s="1"/>
  <c r="C47" i="3"/>
  <c r="B47" i="3"/>
  <c r="F45" i="3"/>
  <c r="F43" i="3"/>
  <c r="D43" i="3"/>
  <c r="D45" i="3" s="1"/>
  <c r="C43" i="3"/>
  <c r="B43" i="3"/>
  <c r="F41" i="3"/>
  <c r="F39" i="3"/>
  <c r="F37" i="3"/>
  <c r="D37" i="3"/>
  <c r="C37" i="3"/>
  <c r="B37" i="3"/>
  <c r="F36" i="3"/>
  <c r="D36" i="3"/>
  <c r="C36" i="3"/>
  <c r="B36" i="3"/>
  <c r="F35" i="3"/>
  <c r="D35" i="3"/>
  <c r="D39" i="3" s="1"/>
  <c r="C35" i="3"/>
  <c r="B35" i="3"/>
  <c r="F33" i="3"/>
  <c r="F31" i="3"/>
  <c r="F29" i="3"/>
  <c r="D29" i="3"/>
  <c r="C29" i="3"/>
  <c r="B29" i="3"/>
  <c r="F28" i="3"/>
  <c r="F26" i="3"/>
  <c r="D26" i="3"/>
  <c r="C26" i="3"/>
  <c r="B26" i="3"/>
  <c r="F25" i="3"/>
  <c r="F23" i="3"/>
  <c r="D23" i="3"/>
  <c r="C23" i="3"/>
  <c r="B23" i="3"/>
  <c r="F21" i="3"/>
  <c r="F19" i="3"/>
  <c r="F17" i="3"/>
  <c r="D17" i="3"/>
  <c r="D19" i="3" s="1"/>
  <c r="C17" i="3"/>
  <c r="B17" i="3"/>
  <c r="F15" i="3"/>
  <c r="F13" i="3"/>
  <c r="D13" i="3"/>
  <c r="D15" i="3" s="1"/>
  <c r="F11" i="3"/>
  <c r="G96" i="3" s="1"/>
  <c r="D11" i="3"/>
  <c r="D8" i="3"/>
  <c r="D7" i="3"/>
  <c r="B5" i="3"/>
  <c r="B4" i="3"/>
  <c r="B3" i="3"/>
  <c r="F96" i="2"/>
  <c r="D96" i="2"/>
  <c r="F94" i="2"/>
  <c r="D94" i="2"/>
  <c r="C94" i="2"/>
  <c r="F93" i="2"/>
  <c r="D93" i="2"/>
  <c r="C93" i="2"/>
  <c r="B93" i="2"/>
  <c r="F87" i="2"/>
  <c r="F85" i="2"/>
  <c r="D85" i="2"/>
  <c r="D87" i="2" s="1"/>
  <c r="C85" i="2"/>
  <c r="B85" i="2"/>
  <c r="F83" i="2"/>
  <c r="F89" i="2" s="1"/>
  <c r="F81" i="2"/>
  <c r="D81" i="2"/>
  <c r="D83" i="2" s="1"/>
  <c r="C81" i="2"/>
  <c r="B81" i="2"/>
  <c r="F79" i="2"/>
  <c r="D77" i="2"/>
  <c r="C77" i="2"/>
  <c r="B77" i="2"/>
  <c r="F75" i="2"/>
  <c r="D73" i="2"/>
  <c r="D75" i="2" s="1"/>
  <c r="C73" i="2"/>
  <c r="B73" i="2"/>
  <c r="F71" i="2"/>
  <c r="F69" i="2"/>
  <c r="D69" i="2"/>
  <c r="D71" i="2" s="1"/>
  <c r="C69" i="2"/>
  <c r="B69" i="2"/>
  <c r="F67" i="2"/>
  <c r="F65" i="2"/>
  <c r="D65" i="2"/>
  <c r="D67" i="2" s="1"/>
  <c r="C65" i="2"/>
  <c r="B65" i="2"/>
  <c r="F63" i="2"/>
  <c r="F61" i="2"/>
  <c r="D61" i="2"/>
  <c r="D63" i="2" s="1"/>
  <c r="C61" i="2"/>
  <c r="B61" i="2"/>
  <c r="F56" i="2"/>
  <c r="F55" i="2"/>
  <c r="F52" i="2"/>
  <c r="F49" i="2"/>
  <c r="F47" i="2"/>
  <c r="D47" i="2"/>
  <c r="D49" i="2" s="1"/>
  <c r="C47" i="2"/>
  <c r="B47" i="2"/>
  <c r="F45" i="2"/>
  <c r="F43" i="2"/>
  <c r="D43" i="2"/>
  <c r="D45" i="2" s="1"/>
  <c r="C43" i="2"/>
  <c r="B43" i="2"/>
  <c r="F41" i="2"/>
  <c r="F39" i="2"/>
  <c r="F37" i="2"/>
  <c r="D37" i="2"/>
  <c r="C37" i="2"/>
  <c r="B37" i="2"/>
  <c r="F36" i="2"/>
  <c r="D36" i="2"/>
  <c r="C36" i="2"/>
  <c r="B36" i="2"/>
  <c r="F35" i="2"/>
  <c r="D35" i="2"/>
  <c r="C35" i="2"/>
  <c r="B35" i="2"/>
  <c r="F33" i="2"/>
  <c r="F31" i="2"/>
  <c r="F29" i="2"/>
  <c r="D29" i="2"/>
  <c r="D31" i="2" s="1"/>
  <c r="C29" i="2"/>
  <c r="B29" i="2"/>
  <c r="F28" i="2"/>
  <c r="F26" i="2"/>
  <c r="D26" i="2"/>
  <c r="D28" i="2" s="1"/>
  <c r="C26" i="2"/>
  <c r="B26" i="2"/>
  <c r="F25" i="2"/>
  <c r="F23" i="2"/>
  <c r="D23" i="2"/>
  <c r="D25" i="2" s="1"/>
  <c r="C23" i="2"/>
  <c r="B23" i="2"/>
  <c r="F21" i="2"/>
  <c r="F19" i="2"/>
  <c r="F17" i="2"/>
  <c r="D17" i="2"/>
  <c r="D19" i="2" s="1"/>
  <c r="C17" i="2"/>
  <c r="B17" i="2"/>
  <c r="F15" i="2"/>
  <c r="F13" i="2"/>
  <c r="D13" i="2"/>
  <c r="D15" i="2" s="1"/>
  <c r="F11" i="2"/>
  <c r="D11" i="2"/>
  <c r="E11" i="2" s="1"/>
  <c r="D8" i="2"/>
  <c r="D7" i="2"/>
  <c r="B5" i="2"/>
  <c r="B4" i="2"/>
  <c r="B3" i="2"/>
  <c r="DB120" i="1"/>
  <c r="CZ120" i="1"/>
  <c r="CX120" i="1"/>
  <c r="CV120" i="1"/>
  <c r="CT120" i="1"/>
  <c r="CR120" i="1"/>
  <c r="CP120" i="1"/>
  <c r="CN120" i="1"/>
  <c r="CL120" i="1"/>
  <c r="CJ120" i="1"/>
  <c r="CH120" i="1"/>
  <c r="CF120" i="1"/>
  <c r="CD120" i="1"/>
  <c r="CB120" i="1"/>
  <c r="BZ120" i="1"/>
  <c r="BX120" i="1"/>
  <c r="BV120" i="1"/>
  <c r="BT120" i="1"/>
  <c r="BR120" i="1"/>
  <c r="BP120" i="1"/>
  <c r="BN120" i="1"/>
  <c r="BL120" i="1"/>
  <c r="BJ120" i="1"/>
  <c r="BH120" i="1"/>
  <c r="BF120" i="1"/>
  <c r="BD120" i="1"/>
  <c r="BB120" i="1"/>
  <c r="AZ120" i="1"/>
  <c r="AX120" i="1"/>
  <c r="AV120" i="1"/>
  <c r="AT120" i="1"/>
  <c r="AR120" i="1"/>
  <c r="AP120" i="1"/>
  <c r="AN120" i="1"/>
  <c r="AL120" i="1"/>
  <c r="AJ120" i="1"/>
  <c r="AH120" i="1"/>
  <c r="AF120" i="1"/>
  <c r="AD120" i="1"/>
  <c r="AB120" i="1"/>
  <c r="Z120" i="1"/>
  <c r="X120" i="1"/>
  <c r="V120" i="1"/>
  <c r="T120" i="1"/>
  <c r="R120" i="1"/>
  <c r="P120" i="1"/>
  <c r="N120" i="1"/>
  <c r="L120" i="1"/>
  <c r="J120" i="1"/>
  <c r="H120" i="1"/>
  <c r="F120" i="1"/>
  <c r="D120" i="1"/>
  <c r="C120" i="1"/>
  <c r="DB119" i="1"/>
  <c r="CZ119" i="1"/>
  <c r="CX119" i="1"/>
  <c r="CV119" i="1"/>
  <c r="CT119" i="1"/>
  <c r="CR119" i="1"/>
  <c r="CP119" i="1"/>
  <c r="CN119" i="1"/>
  <c r="CL119" i="1"/>
  <c r="CJ119" i="1"/>
  <c r="CH119" i="1"/>
  <c r="CF119" i="1"/>
  <c r="CD119" i="1"/>
  <c r="CB119" i="1"/>
  <c r="BZ119" i="1"/>
  <c r="BX119" i="1"/>
  <c r="BV119" i="1"/>
  <c r="BT119" i="1"/>
  <c r="BR119" i="1"/>
  <c r="BP119" i="1"/>
  <c r="BN119" i="1"/>
  <c r="BL119" i="1"/>
  <c r="BJ119" i="1"/>
  <c r="BH119" i="1"/>
  <c r="BF119" i="1"/>
  <c r="BD119" i="1"/>
  <c r="BB119" i="1"/>
  <c r="AZ119" i="1"/>
  <c r="AX119" i="1"/>
  <c r="AV119" i="1"/>
  <c r="AT119" i="1"/>
  <c r="AR119" i="1"/>
  <c r="AP119" i="1"/>
  <c r="AN119" i="1"/>
  <c r="AL119" i="1"/>
  <c r="AJ119" i="1"/>
  <c r="AH119" i="1"/>
  <c r="AF119" i="1"/>
  <c r="AD119" i="1"/>
  <c r="AB119" i="1"/>
  <c r="Z119" i="1"/>
  <c r="X119" i="1"/>
  <c r="V119" i="1"/>
  <c r="T119" i="1"/>
  <c r="R119" i="1"/>
  <c r="P119" i="1"/>
  <c r="N119" i="1"/>
  <c r="L119" i="1"/>
  <c r="J119" i="1"/>
  <c r="H119" i="1"/>
  <c r="F119" i="1"/>
  <c r="D119" i="1"/>
  <c r="DD119" i="1" s="1"/>
  <c r="C117" i="1"/>
  <c r="DB116" i="1"/>
  <c r="CZ116" i="1"/>
  <c r="CX116" i="1"/>
  <c r="CV116" i="1"/>
  <c r="CT116" i="1"/>
  <c r="CR116" i="1"/>
  <c r="CP116" i="1"/>
  <c r="CN116" i="1"/>
  <c r="CL116" i="1"/>
  <c r="CJ116" i="1"/>
  <c r="CH116" i="1"/>
  <c r="CF116" i="1"/>
  <c r="CD116" i="1"/>
  <c r="CB116" i="1"/>
  <c r="BZ116" i="1"/>
  <c r="BX116" i="1"/>
  <c r="BV116" i="1"/>
  <c r="BT116" i="1"/>
  <c r="BR116" i="1"/>
  <c r="BP116" i="1"/>
  <c r="BN116" i="1"/>
  <c r="BL116" i="1"/>
  <c r="BJ116" i="1"/>
  <c r="BH116" i="1"/>
  <c r="BF116" i="1"/>
  <c r="BD116" i="1"/>
  <c r="BB116" i="1"/>
  <c r="AZ116" i="1"/>
  <c r="AX116" i="1"/>
  <c r="AV116" i="1"/>
  <c r="AT116" i="1"/>
  <c r="AR116" i="1"/>
  <c r="AP116" i="1"/>
  <c r="AN116" i="1"/>
  <c r="AL116" i="1"/>
  <c r="AJ116" i="1"/>
  <c r="AH116" i="1"/>
  <c r="AF116" i="1"/>
  <c r="AD116" i="1"/>
  <c r="AB116" i="1"/>
  <c r="Z116" i="1"/>
  <c r="X116" i="1"/>
  <c r="V116" i="1"/>
  <c r="T116" i="1"/>
  <c r="R116" i="1"/>
  <c r="P116" i="1"/>
  <c r="N116" i="1"/>
  <c r="L116" i="1"/>
  <c r="J116" i="1"/>
  <c r="H116" i="1"/>
  <c r="F116" i="1"/>
  <c r="D116" i="1"/>
  <c r="R114" i="1"/>
  <c r="C114" i="1"/>
  <c r="DB113" i="1"/>
  <c r="CZ113" i="1"/>
  <c r="CX113" i="1"/>
  <c r="CX114" i="1" s="1"/>
  <c r="CV113" i="1"/>
  <c r="CT113" i="1"/>
  <c r="CR113" i="1"/>
  <c r="CP113" i="1"/>
  <c r="CP114" i="1" s="1"/>
  <c r="CN113" i="1"/>
  <c r="CL113" i="1"/>
  <c r="CJ113" i="1"/>
  <c r="CH113" i="1"/>
  <c r="CH114" i="1" s="1"/>
  <c r="CF113" i="1"/>
  <c r="CD113" i="1"/>
  <c r="CB113" i="1"/>
  <c r="CB114" i="1" s="1"/>
  <c r="BZ113" i="1"/>
  <c r="BZ114" i="1" s="1"/>
  <c r="BX113" i="1"/>
  <c r="BV113" i="1"/>
  <c r="BT113" i="1"/>
  <c r="BT114" i="1" s="1"/>
  <c r="BR113" i="1"/>
  <c r="BR114" i="1" s="1"/>
  <c r="BP113" i="1"/>
  <c r="BN113" i="1"/>
  <c r="BL113" i="1"/>
  <c r="BJ113" i="1"/>
  <c r="BJ114" i="1" s="1"/>
  <c r="BH113" i="1"/>
  <c r="BF113" i="1"/>
  <c r="BD113" i="1"/>
  <c r="BD114" i="1" s="1"/>
  <c r="BB113" i="1"/>
  <c r="BB114" i="1" s="1"/>
  <c r="AZ113" i="1"/>
  <c r="AX113" i="1"/>
  <c r="AV113" i="1"/>
  <c r="AV114" i="1" s="1"/>
  <c r="AT113" i="1"/>
  <c r="AT114" i="1" s="1"/>
  <c r="AR113" i="1"/>
  <c r="AP113" i="1"/>
  <c r="AN113" i="1"/>
  <c r="AN114" i="1" s="1"/>
  <c r="AL113" i="1"/>
  <c r="AL114" i="1" s="1"/>
  <c r="AJ113" i="1"/>
  <c r="AH113" i="1"/>
  <c r="AF113" i="1"/>
  <c r="AD113" i="1"/>
  <c r="AD114" i="1" s="1"/>
  <c r="AB113" i="1"/>
  <c r="Z113" i="1"/>
  <c r="X113" i="1"/>
  <c r="X114" i="1" s="1"/>
  <c r="V113" i="1"/>
  <c r="V114" i="1" s="1"/>
  <c r="T113" i="1"/>
  <c r="R113" i="1"/>
  <c r="P113" i="1"/>
  <c r="N113" i="1"/>
  <c r="L113" i="1"/>
  <c r="L114" i="1" s="1"/>
  <c r="J113" i="1"/>
  <c r="H113" i="1"/>
  <c r="F113" i="1"/>
  <c r="F114" i="1" s="1"/>
  <c r="D113" i="1"/>
  <c r="C111" i="1"/>
  <c r="DB110" i="1"/>
  <c r="CZ110" i="1"/>
  <c r="CX110" i="1"/>
  <c r="CV110" i="1"/>
  <c r="CT110" i="1"/>
  <c r="CR110" i="1"/>
  <c r="CP110" i="1"/>
  <c r="CN110" i="1"/>
  <c r="CL110" i="1"/>
  <c r="CJ110" i="1"/>
  <c r="CH110" i="1"/>
  <c r="CF110" i="1"/>
  <c r="CD110" i="1"/>
  <c r="CB110" i="1"/>
  <c r="BZ110" i="1"/>
  <c r="BX110" i="1"/>
  <c r="BV110" i="1"/>
  <c r="BT110" i="1"/>
  <c r="BR110" i="1"/>
  <c r="BP110" i="1"/>
  <c r="BN110" i="1"/>
  <c r="BL110" i="1"/>
  <c r="BJ110" i="1"/>
  <c r="BH110" i="1"/>
  <c r="BF110" i="1"/>
  <c r="BD110" i="1"/>
  <c r="BB110" i="1"/>
  <c r="AZ110" i="1"/>
  <c r="AX110" i="1"/>
  <c r="AV110" i="1"/>
  <c r="AT110" i="1"/>
  <c r="AR110" i="1"/>
  <c r="AP110" i="1"/>
  <c r="AN110" i="1"/>
  <c r="AL110" i="1"/>
  <c r="AJ110" i="1"/>
  <c r="AH110" i="1"/>
  <c r="AF110" i="1"/>
  <c r="AD110" i="1"/>
  <c r="AB110" i="1"/>
  <c r="Z110" i="1"/>
  <c r="X110" i="1"/>
  <c r="V110" i="1"/>
  <c r="T110" i="1"/>
  <c r="R110" i="1"/>
  <c r="P110" i="1"/>
  <c r="N110" i="1"/>
  <c r="L110" i="1"/>
  <c r="J110" i="1"/>
  <c r="H110" i="1"/>
  <c r="F110" i="1"/>
  <c r="D110" i="1"/>
  <c r="DD110" i="1" s="1"/>
  <c r="DB109" i="1"/>
  <c r="CZ109" i="1"/>
  <c r="CX109" i="1"/>
  <c r="CX111" i="1" s="1"/>
  <c r="CV109" i="1"/>
  <c r="CT109" i="1"/>
  <c r="CT111" i="1" s="1"/>
  <c r="CR109" i="1"/>
  <c r="CP109" i="1"/>
  <c r="CN109" i="1"/>
  <c r="CL109" i="1"/>
  <c r="CJ109" i="1"/>
  <c r="CH109" i="1"/>
  <c r="CH111" i="1" s="1"/>
  <c r="CF109" i="1"/>
  <c r="CD109" i="1"/>
  <c r="CD111" i="1" s="1"/>
  <c r="CB109" i="1"/>
  <c r="BZ109" i="1"/>
  <c r="BX109" i="1"/>
  <c r="BV109" i="1"/>
  <c r="BT109" i="1"/>
  <c r="BR109" i="1"/>
  <c r="BR111" i="1" s="1"/>
  <c r="BP109" i="1"/>
  <c r="BN109" i="1"/>
  <c r="BN111" i="1" s="1"/>
  <c r="BL109" i="1"/>
  <c r="BJ109" i="1"/>
  <c r="BH109" i="1"/>
  <c r="BF109" i="1"/>
  <c r="BD109" i="1"/>
  <c r="BB109" i="1"/>
  <c r="AZ109" i="1"/>
  <c r="AX109" i="1"/>
  <c r="AV109" i="1"/>
  <c r="AT109" i="1"/>
  <c r="AR109" i="1"/>
  <c r="AP109" i="1"/>
  <c r="AN109" i="1"/>
  <c r="AL109" i="1"/>
  <c r="AJ109" i="1"/>
  <c r="AH109" i="1"/>
  <c r="AF109" i="1"/>
  <c r="AD109" i="1"/>
  <c r="AB109" i="1"/>
  <c r="Z109" i="1"/>
  <c r="X109" i="1"/>
  <c r="V109" i="1"/>
  <c r="T109" i="1"/>
  <c r="R109" i="1"/>
  <c r="P109" i="1"/>
  <c r="N109" i="1"/>
  <c r="L109" i="1"/>
  <c r="J109" i="1"/>
  <c r="H109" i="1"/>
  <c r="F109" i="1"/>
  <c r="D109" i="1"/>
  <c r="DD109" i="1" s="1"/>
  <c r="DB108" i="1"/>
  <c r="CZ108" i="1"/>
  <c r="CX108" i="1"/>
  <c r="CV108" i="1"/>
  <c r="CT108" i="1"/>
  <c r="CR108" i="1"/>
  <c r="CP108" i="1"/>
  <c r="CN108" i="1"/>
  <c r="CL108" i="1"/>
  <c r="CJ108" i="1"/>
  <c r="CH108" i="1"/>
  <c r="CF108" i="1"/>
  <c r="CD108" i="1"/>
  <c r="CB108" i="1"/>
  <c r="BZ108" i="1"/>
  <c r="BX108" i="1"/>
  <c r="BV108" i="1"/>
  <c r="BT108" i="1"/>
  <c r="BR108" i="1"/>
  <c r="BP108" i="1"/>
  <c r="BN108" i="1"/>
  <c r="BL108" i="1"/>
  <c r="BJ108" i="1"/>
  <c r="BH108" i="1"/>
  <c r="BF108" i="1"/>
  <c r="BD108" i="1"/>
  <c r="BB108" i="1"/>
  <c r="BB111" i="1" s="1"/>
  <c r="AZ108" i="1"/>
  <c r="AX108" i="1"/>
  <c r="AX111" i="1" s="1"/>
  <c r="AV108" i="1"/>
  <c r="AT108" i="1"/>
  <c r="AT111" i="1" s="1"/>
  <c r="AR108" i="1"/>
  <c r="AP108" i="1"/>
  <c r="AP111" i="1" s="1"/>
  <c r="AN108" i="1"/>
  <c r="AL108" i="1"/>
  <c r="AL111" i="1" s="1"/>
  <c r="AJ108" i="1"/>
  <c r="AH108" i="1"/>
  <c r="AH111" i="1" s="1"/>
  <c r="AF108" i="1"/>
  <c r="AD108" i="1"/>
  <c r="AD111" i="1" s="1"/>
  <c r="AB108" i="1"/>
  <c r="Z108" i="1"/>
  <c r="Z111" i="1" s="1"/>
  <c r="X108" i="1"/>
  <c r="V108" i="1"/>
  <c r="V111" i="1" s="1"/>
  <c r="T108" i="1"/>
  <c r="R108" i="1"/>
  <c r="R111" i="1" s="1"/>
  <c r="P108" i="1"/>
  <c r="N108" i="1"/>
  <c r="N111" i="1" s="1"/>
  <c r="L108" i="1"/>
  <c r="J108" i="1"/>
  <c r="J111" i="1" s="1"/>
  <c r="H108" i="1"/>
  <c r="F108" i="1"/>
  <c r="F111" i="1" s="1"/>
  <c r="D108" i="1"/>
  <c r="DB106" i="1"/>
  <c r="CX106" i="1"/>
  <c r="CT106" i="1"/>
  <c r="CP106" i="1"/>
  <c r="CL106" i="1"/>
  <c r="CH106" i="1"/>
  <c r="CD106" i="1"/>
  <c r="BZ106" i="1"/>
  <c r="BV106" i="1"/>
  <c r="BR106" i="1"/>
  <c r="BN106" i="1"/>
  <c r="BJ106" i="1"/>
  <c r="BF106" i="1"/>
  <c r="BB106" i="1"/>
  <c r="AX106" i="1"/>
  <c r="AT106" i="1"/>
  <c r="AP106" i="1"/>
  <c r="AL106" i="1"/>
  <c r="AH106" i="1"/>
  <c r="AD106" i="1"/>
  <c r="Z106" i="1"/>
  <c r="V106" i="1"/>
  <c r="R106" i="1"/>
  <c r="N106" i="1"/>
  <c r="J106" i="1"/>
  <c r="F106" i="1"/>
  <c r="C106" i="1"/>
  <c r="DB105" i="1"/>
  <c r="CZ105" i="1"/>
  <c r="CX105" i="1"/>
  <c r="CV105" i="1"/>
  <c r="CV106" i="1" s="1"/>
  <c r="CT105" i="1"/>
  <c r="CR105" i="1"/>
  <c r="CP105" i="1"/>
  <c r="CN105" i="1"/>
  <c r="CN106" i="1" s="1"/>
  <c r="CL105" i="1"/>
  <c r="CJ105" i="1"/>
  <c r="CH105" i="1"/>
  <c r="CF105" i="1"/>
  <c r="CF106" i="1" s="1"/>
  <c r="CD105" i="1"/>
  <c r="CB105" i="1"/>
  <c r="BZ105" i="1"/>
  <c r="BX105" i="1"/>
  <c r="BX106" i="1" s="1"/>
  <c r="BV105" i="1"/>
  <c r="BT105" i="1"/>
  <c r="BR105" i="1"/>
  <c r="BP105" i="1"/>
  <c r="BP106" i="1" s="1"/>
  <c r="BN105" i="1"/>
  <c r="BL105" i="1"/>
  <c r="BJ105" i="1"/>
  <c r="BH105" i="1"/>
  <c r="BH106" i="1" s="1"/>
  <c r="BF105" i="1"/>
  <c r="BD105" i="1"/>
  <c r="BB105" i="1"/>
  <c r="AZ105" i="1"/>
  <c r="AZ106" i="1" s="1"/>
  <c r="AX105" i="1"/>
  <c r="AV105" i="1"/>
  <c r="AT105" i="1"/>
  <c r="AR105" i="1"/>
  <c r="AR106" i="1" s="1"/>
  <c r="AP105" i="1"/>
  <c r="AN105" i="1"/>
  <c r="AL105" i="1"/>
  <c r="AJ105" i="1"/>
  <c r="AJ106" i="1" s="1"/>
  <c r="AH105" i="1"/>
  <c r="AF105" i="1"/>
  <c r="AD105" i="1"/>
  <c r="AB105" i="1"/>
  <c r="AB106" i="1" s="1"/>
  <c r="Z105" i="1"/>
  <c r="X105" i="1"/>
  <c r="V105" i="1"/>
  <c r="T105" i="1"/>
  <c r="T106" i="1" s="1"/>
  <c r="R105" i="1"/>
  <c r="P105" i="1"/>
  <c r="N105" i="1"/>
  <c r="L105" i="1"/>
  <c r="L106" i="1" s="1"/>
  <c r="J105" i="1"/>
  <c r="H105" i="1"/>
  <c r="F105" i="1"/>
  <c r="D105" i="1"/>
  <c r="DD105" i="1" s="1"/>
  <c r="DD106" i="1" s="1"/>
  <c r="CP103" i="1"/>
  <c r="BJ103" i="1"/>
  <c r="AT103" i="1"/>
  <c r="AD103" i="1"/>
  <c r="C103" i="1"/>
  <c r="DB102" i="1"/>
  <c r="CZ102" i="1"/>
  <c r="CZ103" i="1" s="1"/>
  <c r="CX102" i="1"/>
  <c r="CV102" i="1"/>
  <c r="CT102" i="1"/>
  <c r="CR102" i="1"/>
  <c r="CR103" i="1" s="1"/>
  <c r="CP102" i="1"/>
  <c r="CN102" i="1"/>
  <c r="CN103" i="1" s="1"/>
  <c r="CL102" i="1"/>
  <c r="CJ102" i="1"/>
  <c r="CJ103" i="1" s="1"/>
  <c r="CH102" i="1"/>
  <c r="CF102" i="1"/>
  <c r="CD102" i="1"/>
  <c r="CB102" i="1"/>
  <c r="CB103" i="1" s="1"/>
  <c r="BZ102" i="1"/>
  <c r="BX102" i="1"/>
  <c r="BV102" i="1"/>
  <c r="BT102" i="1"/>
  <c r="BT103" i="1" s="1"/>
  <c r="BR102" i="1"/>
  <c r="BP102" i="1"/>
  <c r="BN102" i="1"/>
  <c r="BL102" i="1"/>
  <c r="BL103" i="1" s="1"/>
  <c r="BJ102" i="1"/>
  <c r="BH102" i="1"/>
  <c r="BF102" i="1"/>
  <c r="BD102" i="1"/>
  <c r="BD103" i="1" s="1"/>
  <c r="BB102" i="1"/>
  <c r="AZ102" i="1"/>
  <c r="AX102" i="1"/>
  <c r="AV102" i="1"/>
  <c r="AV103" i="1" s="1"/>
  <c r="AT102" i="1"/>
  <c r="AR102" i="1"/>
  <c r="AP102" i="1"/>
  <c r="AN102" i="1"/>
  <c r="AN103" i="1" s="1"/>
  <c r="AL102" i="1"/>
  <c r="AJ102" i="1"/>
  <c r="AH102" i="1"/>
  <c r="AF102" i="1"/>
  <c r="AF103" i="1" s="1"/>
  <c r="AD102" i="1"/>
  <c r="AB102" i="1"/>
  <c r="Z102" i="1"/>
  <c r="X102" i="1"/>
  <c r="X103" i="1" s="1"/>
  <c r="V102" i="1"/>
  <c r="T102" i="1"/>
  <c r="R102" i="1"/>
  <c r="P102" i="1"/>
  <c r="P103" i="1" s="1"/>
  <c r="N102" i="1"/>
  <c r="L102" i="1"/>
  <c r="J102" i="1"/>
  <c r="H102" i="1"/>
  <c r="H103" i="1" s="1"/>
  <c r="F102" i="1"/>
  <c r="D102" i="1"/>
  <c r="CR100" i="1"/>
  <c r="CJ100" i="1"/>
  <c r="CB100" i="1"/>
  <c r="BL100" i="1"/>
  <c r="C100" i="1"/>
  <c r="DB99" i="1"/>
  <c r="CZ99" i="1"/>
  <c r="CX99" i="1"/>
  <c r="CV99" i="1"/>
  <c r="CT99" i="1"/>
  <c r="CR99" i="1"/>
  <c r="CP99" i="1"/>
  <c r="CN99" i="1"/>
  <c r="CL99" i="1"/>
  <c r="CJ99" i="1"/>
  <c r="CH99" i="1"/>
  <c r="CF99" i="1"/>
  <c r="CD99" i="1"/>
  <c r="CB99" i="1"/>
  <c r="BZ99" i="1"/>
  <c r="BZ100" i="1" s="1"/>
  <c r="BX99" i="1"/>
  <c r="BV99" i="1"/>
  <c r="BT99" i="1"/>
  <c r="BR99" i="1"/>
  <c r="BP99" i="1"/>
  <c r="BN99" i="1"/>
  <c r="BL99" i="1"/>
  <c r="BJ99" i="1"/>
  <c r="BH99" i="1"/>
  <c r="BF99" i="1"/>
  <c r="BD99" i="1"/>
  <c r="BB99" i="1"/>
  <c r="AZ99" i="1"/>
  <c r="AX99" i="1"/>
  <c r="AV99" i="1"/>
  <c r="AT99" i="1"/>
  <c r="AR99" i="1"/>
  <c r="AP99" i="1"/>
  <c r="AN99" i="1"/>
  <c r="AL99" i="1"/>
  <c r="AJ99" i="1"/>
  <c r="AH99" i="1"/>
  <c r="AF99" i="1"/>
  <c r="AD99" i="1"/>
  <c r="AB99" i="1"/>
  <c r="Z99" i="1"/>
  <c r="X99" i="1"/>
  <c r="V99" i="1"/>
  <c r="T99" i="1"/>
  <c r="R99" i="1"/>
  <c r="P99" i="1"/>
  <c r="N99" i="1"/>
  <c r="L99" i="1"/>
  <c r="J99" i="1"/>
  <c r="H99" i="1"/>
  <c r="F99" i="1"/>
  <c r="D99" i="1"/>
  <c r="C97" i="1"/>
  <c r="DB96" i="1"/>
  <c r="CZ96" i="1"/>
  <c r="CX96" i="1"/>
  <c r="CV96" i="1"/>
  <c r="CT96" i="1"/>
  <c r="CR96" i="1"/>
  <c r="CP96" i="1"/>
  <c r="CN96" i="1"/>
  <c r="CL96" i="1"/>
  <c r="CJ96" i="1"/>
  <c r="CH96" i="1"/>
  <c r="CF96" i="1"/>
  <c r="CD96" i="1"/>
  <c r="CB96" i="1"/>
  <c r="BZ96" i="1"/>
  <c r="BX96" i="1"/>
  <c r="BV96" i="1"/>
  <c r="BT96" i="1"/>
  <c r="BR96" i="1"/>
  <c r="BP96" i="1"/>
  <c r="BN96" i="1"/>
  <c r="BL96" i="1"/>
  <c r="BJ96" i="1"/>
  <c r="BH96" i="1"/>
  <c r="BF96" i="1"/>
  <c r="BD96" i="1"/>
  <c r="BB96" i="1"/>
  <c r="AZ96" i="1"/>
  <c r="AX96" i="1"/>
  <c r="AV96" i="1"/>
  <c r="AT96" i="1"/>
  <c r="AR96" i="1"/>
  <c r="AP96" i="1"/>
  <c r="AN96" i="1"/>
  <c r="AL96" i="1"/>
  <c r="AJ96" i="1"/>
  <c r="AH96" i="1"/>
  <c r="AF96" i="1"/>
  <c r="AD96" i="1"/>
  <c r="AB96" i="1"/>
  <c r="Z96" i="1"/>
  <c r="X96" i="1"/>
  <c r="V96" i="1"/>
  <c r="T96" i="1"/>
  <c r="R96" i="1"/>
  <c r="P96" i="1"/>
  <c r="N96" i="1"/>
  <c r="L96" i="1"/>
  <c r="J96" i="1"/>
  <c r="H96" i="1"/>
  <c r="F96" i="1"/>
  <c r="D96" i="1"/>
  <c r="DB95" i="1"/>
  <c r="CZ95" i="1"/>
  <c r="CZ97" i="1" s="1"/>
  <c r="CX95" i="1"/>
  <c r="CV95" i="1"/>
  <c r="CV97" i="1" s="1"/>
  <c r="CT95" i="1"/>
  <c r="CR95" i="1"/>
  <c r="CR97" i="1" s="1"/>
  <c r="CP95" i="1"/>
  <c r="CN95" i="1"/>
  <c r="CN97" i="1" s="1"/>
  <c r="CL95" i="1"/>
  <c r="CJ95" i="1"/>
  <c r="CJ97" i="1" s="1"/>
  <c r="CH95" i="1"/>
  <c r="CF95" i="1"/>
  <c r="CF97" i="1" s="1"/>
  <c r="CD95" i="1"/>
  <c r="CB95" i="1"/>
  <c r="CB97" i="1" s="1"/>
  <c r="BZ95" i="1"/>
  <c r="BX95" i="1"/>
  <c r="BX97" i="1" s="1"/>
  <c r="BV95" i="1"/>
  <c r="BT95" i="1"/>
  <c r="BT97" i="1" s="1"/>
  <c r="BR95" i="1"/>
  <c r="BP95" i="1"/>
  <c r="BP97" i="1" s="1"/>
  <c r="BN95" i="1"/>
  <c r="BL95" i="1"/>
  <c r="BL97" i="1" s="1"/>
  <c r="BJ95" i="1"/>
  <c r="BH95" i="1"/>
  <c r="BH97" i="1" s="1"/>
  <c r="BF95" i="1"/>
  <c r="BD95" i="1"/>
  <c r="BD97" i="1" s="1"/>
  <c r="BB95" i="1"/>
  <c r="AZ95" i="1"/>
  <c r="AZ97" i="1" s="1"/>
  <c r="AX95" i="1"/>
  <c r="AV95" i="1"/>
  <c r="AV97" i="1" s="1"/>
  <c r="AT95" i="1"/>
  <c r="AR95" i="1"/>
  <c r="AR97" i="1" s="1"/>
  <c r="AP95" i="1"/>
  <c r="AN95" i="1"/>
  <c r="AL95" i="1"/>
  <c r="AJ95" i="1"/>
  <c r="AJ97" i="1" s="1"/>
  <c r="AH95" i="1"/>
  <c r="AF95" i="1"/>
  <c r="AD95" i="1"/>
  <c r="AB95" i="1"/>
  <c r="AB97" i="1" s="1"/>
  <c r="Z95" i="1"/>
  <c r="X95" i="1"/>
  <c r="V95" i="1"/>
  <c r="T95" i="1"/>
  <c r="T97" i="1" s="1"/>
  <c r="R95" i="1"/>
  <c r="P95" i="1"/>
  <c r="N95" i="1"/>
  <c r="L95" i="1"/>
  <c r="L97" i="1" s="1"/>
  <c r="J95" i="1"/>
  <c r="H95" i="1"/>
  <c r="F95" i="1"/>
  <c r="D95" i="1"/>
  <c r="D97" i="1" s="1"/>
  <c r="CZ89" i="1"/>
  <c r="CV89" i="1"/>
  <c r="CR89" i="1"/>
  <c r="CN89" i="1"/>
  <c r="CJ89" i="1"/>
  <c r="CF89" i="1"/>
  <c r="CB89" i="1"/>
  <c r="BX89" i="1"/>
  <c r="BT89" i="1"/>
  <c r="BP89" i="1"/>
  <c r="BL89" i="1"/>
  <c r="BH89" i="1"/>
  <c r="BD89" i="1"/>
  <c r="AZ89" i="1"/>
  <c r="AV89" i="1"/>
  <c r="AR89" i="1"/>
  <c r="AN89" i="1"/>
  <c r="AJ89" i="1"/>
  <c r="DB87" i="1"/>
  <c r="CZ87" i="1"/>
  <c r="CX87" i="1"/>
  <c r="CX89" i="1" s="1"/>
  <c r="CV87" i="1"/>
  <c r="CT87" i="1"/>
  <c r="CR87" i="1"/>
  <c r="CP87" i="1"/>
  <c r="CP89" i="1" s="1"/>
  <c r="CN87" i="1"/>
  <c r="CL87" i="1"/>
  <c r="CJ87" i="1"/>
  <c r="CH87" i="1"/>
  <c r="CH89" i="1" s="1"/>
  <c r="CF87" i="1"/>
  <c r="CD87" i="1"/>
  <c r="CB87" i="1"/>
  <c r="BZ87" i="1"/>
  <c r="BZ89" i="1" s="1"/>
  <c r="BX87" i="1"/>
  <c r="BV87" i="1"/>
  <c r="BT87" i="1"/>
  <c r="BR87" i="1"/>
  <c r="BR89" i="1" s="1"/>
  <c r="BP87" i="1"/>
  <c r="BN87" i="1"/>
  <c r="BL87" i="1"/>
  <c r="BJ87" i="1"/>
  <c r="BJ89" i="1" s="1"/>
  <c r="BH87" i="1"/>
  <c r="BF87" i="1"/>
  <c r="BD87" i="1"/>
  <c r="BB87" i="1"/>
  <c r="BB89" i="1" s="1"/>
  <c r="AZ87" i="1"/>
  <c r="AX87" i="1"/>
  <c r="AV87" i="1"/>
  <c r="AT87" i="1"/>
  <c r="AT89" i="1" s="1"/>
  <c r="AR87" i="1"/>
  <c r="AP87" i="1"/>
  <c r="AN87" i="1"/>
  <c r="AL87" i="1"/>
  <c r="AL89" i="1" s="1"/>
  <c r="AJ87" i="1"/>
  <c r="AH87" i="1"/>
  <c r="AF87" i="1"/>
  <c r="AF89" i="1" s="1"/>
  <c r="AD87" i="1"/>
  <c r="AB87" i="1"/>
  <c r="AB89" i="1" s="1"/>
  <c r="Z87" i="1"/>
  <c r="Z89" i="1" s="1"/>
  <c r="X87" i="1"/>
  <c r="X89" i="1" s="1"/>
  <c r="V87" i="1"/>
  <c r="T87" i="1"/>
  <c r="T89" i="1" s="1"/>
  <c r="R87" i="1"/>
  <c r="R89" i="1" s="1"/>
  <c r="P87" i="1"/>
  <c r="P89" i="1" s="1"/>
  <c r="N87" i="1"/>
  <c r="L87" i="1"/>
  <c r="L89" i="1" s="1"/>
  <c r="J87" i="1"/>
  <c r="J89" i="1" s="1"/>
  <c r="H87" i="1"/>
  <c r="H89" i="1" s="1"/>
  <c r="F87" i="1"/>
  <c r="D87" i="1"/>
  <c r="D89" i="1" s="1"/>
  <c r="DB83" i="1"/>
  <c r="DB85" i="1" s="1"/>
  <c r="CZ83" i="1"/>
  <c r="CX83" i="1"/>
  <c r="CX85" i="1" s="1"/>
  <c r="CV83" i="1"/>
  <c r="CT83" i="1"/>
  <c r="CT85" i="1" s="1"/>
  <c r="CR83" i="1"/>
  <c r="CP83" i="1"/>
  <c r="CP85" i="1" s="1"/>
  <c r="CN83" i="1"/>
  <c r="CL83" i="1"/>
  <c r="CL85" i="1" s="1"/>
  <c r="CJ83" i="1"/>
  <c r="CH83" i="1"/>
  <c r="CH85" i="1" s="1"/>
  <c r="CF83" i="1"/>
  <c r="CD83" i="1"/>
  <c r="CD85" i="1" s="1"/>
  <c r="CB83" i="1"/>
  <c r="BZ83" i="1"/>
  <c r="BZ85" i="1" s="1"/>
  <c r="BX83" i="1"/>
  <c r="BV83" i="1"/>
  <c r="BV85" i="1" s="1"/>
  <c r="BT83" i="1"/>
  <c r="BR83" i="1"/>
  <c r="BR85" i="1" s="1"/>
  <c r="BP83" i="1"/>
  <c r="BN83" i="1"/>
  <c r="BN85" i="1" s="1"/>
  <c r="BL83" i="1"/>
  <c r="BJ83" i="1"/>
  <c r="BJ85" i="1" s="1"/>
  <c r="BH83" i="1"/>
  <c r="BF83" i="1"/>
  <c r="BF85" i="1" s="1"/>
  <c r="BD83" i="1"/>
  <c r="BB83" i="1"/>
  <c r="BB85" i="1" s="1"/>
  <c r="AZ83" i="1"/>
  <c r="AX83" i="1"/>
  <c r="AX85" i="1" s="1"/>
  <c r="AV83" i="1"/>
  <c r="AT83" i="1"/>
  <c r="AT85" i="1" s="1"/>
  <c r="AR83" i="1"/>
  <c r="AP83" i="1"/>
  <c r="AP85" i="1" s="1"/>
  <c r="AN83" i="1"/>
  <c r="AL83" i="1"/>
  <c r="AL85" i="1" s="1"/>
  <c r="AJ83" i="1"/>
  <c r="AH83" i="1"/>
  <c r="AH85" i="1" s="1"/>
  <c r="AF83" i="1"/>
  <c r="AD83" i="1"/>
  <c r="AD85" i="1" s="1"/>
  <c r="AB83" i="1"/>
  <c r="Z83" i="1"/>
  <c r="Z85" i="1" s="1"/>
  <c r="X83" i="1"/>
  <c r="V83" i="1"/>
  <c r="V85" i="1" s="1"/>
  <c r="T83" i="1"/>
  <c r="R83" i="1"/>
  <c r="R85" i="1" s="1"/>
  <c r="P83" i="1"/>
  <c r="N83" i="1"/>
  <c r="N85" i="1" s="1"/>
  <c r="L83" i="1"/>
  <c r="J83" i="1"/>
  <c r="J85" i="1" s="1"/>
  <c r="H83" i="1"/>
  <c r="F83" i="1"/>
  <c r="F85" i="1" s="1"/>
  <c r="D83" i="1"/>
  <c r="DB81" i="1"/>
  <c r="CZ81" i="1"/>
  <c r="CX81" i="1"/>
  <c r="CV81" i="1"/>
  <c r="CT81" i="1"/>
  <c r="CR81" i="1"/>
  <c r="CP81" i="1"/>
  <c r="CN81" i="1"/>
  <c r="CL81" i="1"/>
  <c r="CJ81" i="1"/>
  <c r="CH81" i="1"/>
  <c r="CF81" i="1"/>
  <c r="CD81" i="1"/>
  <c r="CB81" i="1"/>
  <c r="BZ81" i="1"/>
  <c r="BX81" i="1"/>
  <c r="BV81" i="1"/>
  <c r="BT81" i="1"/>
  <c r="BR81" i="1"/>
  <c r="BP81" i="1"/>
  <c r="BN81" i="1"/>
  <c r="BL81" i="1"/>
  <c r="BJ81" i="1"/>
  <c r="BH81" i="1"/>
  <c r="BF81" i="1"/>
  <c r="BD81" i="1"/>
  <c r="BB81" i="1"/>
  <c r="AZ81" i="1"/>
  <c r="AX81" i="1"/>
  <c r="AV81" i="1"/>
  <c r="AT81" i="1"/>
  <c r="AR81" i="1"/>
  <c r="AP81" i="1"/>
  <c r="AN81" i="1"/>
  <c r="AL81" i="1"/>
  <c r="AJ81" i="1"/>
  <c r="AH81" i="1"/>
  <c r="AF81" i="1"/>
  <c r="AD81" i="1"/>
  <c r="AB81" i="1"/>
  <c r="Z81" i="1"/>
  <c r="X81" i="1"/>
  <c r="V81" i="1"/>
  <c r="T81" i="1"/>
  <c r="R81" i="1"/>
  <c r="P81" i="1"/>
  <c r="N81" i="1"/>
  <c r="L81" i="1"/>
  <c r="J81" i="1"/>
  <c r="H81" i="1"/>
  <c r="F81" i="1"/>
  <c r="D81" i="1"/>
  <c r="DB79" i="1"/>
  <c r="CZ79" i="1"/>
  <c r="CX79" i="1"/>
  <c r="CV79" i="1"/>
  <c r="CT79" i="1"/>
  <c r="CR79" i="1"/>
  <c r="CP79" i="1"/>
  <c r="CN79" i="1"/>
  <c r="CL79" i="1"/>
  <c r="CJ79" i="1"/>
  <c r="CH79" i="1"/>
  <c r="CF79" i="1"/>
  <c r="CD79" i="1"/>
  <c r="CB79" i="1"/>
  <c r="BZ79" i="1"/>
  <c r="BX79" i="1"/>
  <c r="BV79" i="1"/>
  <c r="BT79" i="1"/>
  <c r="BR79" i="1"/>
  <c r="BP79" i="1"/>
  <c r="BN79" i="1"/>
  <c r="BL79" i="1"/>
  <c r="BJ79" i="1"/>
  <c r="BH79" i="1"/>
  <c r="BF79" i="1"/>
  <c r="BD79" i="1"/>
  <c r="BB79" i="1"/>
  <c r="AZ79" i="1"/>
  <c r="AX79" i="1"/>
  <c r="AV79" i="1"/>
  <c r="AT79" i="1"/>
  <c r="AR79" i="1"/>
  <c r="AP79" i="1"/>
  <c r="AN79" i="1"/>
  <c r="AL79" i="1"/>
  <c r="AJ79" i="1"/>
  <c r="AH79" i="1"/>
  <c r="AF79" i="1"/>
  <c r="AD79" i="1"/>
  <c r="AB79" i="1"/>
  <c r="Z79" i="1"/>
  <c r="X79" i="1"/>
  <c r="V79" i="1"/>
  <c r="T79" i="1"/>
  <c r="R79" i="1"/>
  <c r="P79" i="1"/>
  <c r="N79" i="1"/>
  <c r="L79" i="1"/>
  <c r="J79" i="1"/>
  <c r="H79" i="1"/>
  <c r="F79" i="1"/>
  <c r="D79" i="1"/>
  <c r="DB75" i="1"/>
  <c r="CZ75" i="1"/>
  <c r="CX75" i="1"/>
  <c r="CV75" i="1"/>
  <c r="CT75" i="1"/>
  <c r="CR75" i="1"/>
  <c r="CP75" i="1"/>
  <c r="CN75" i="1"/>
  <c r="CL75" i="1"/>
  <c r="CJ75" i="1"/>
  <c r="CH75" i="1"/>
  <c r="CF75" i="1"/>
  <c r="CD75" i="1"/>
  <c r="CB75" i="1"/>
  <c r="BZ75" i="1"/>
  <c r="BX75" i="1"/>
  <c r="BV75" i="1"/>
  <c r="BT75" i="1"/>
  <c r="BR75" i="1"/>
  <c r="BP75" i="1"/>
  <c r="BN75" i="1"/>
  <c r="BL75" i="1"/>
  <c r="BJ75" i="1"/>
  <c r="BH75" i="1"/>
  <c r="BF75" i="1"/>
  <c r="BD75" i="1"/>
  <c r="BB75" i="1"/>
  <c r="AZ75" i="1"/>
  <c r="AX75" i="1"/>
  <c r="AV75" i="1"/>
  <c r="AT75" i="1"/>
  <c r="AR75" i="1"/>
  <c r="AP75" i="1"/>
  <c r="AN75" i="1"/>
  <c r="AL75" i="1"/>
  <c r="AJ75" i="1"/>
  <c r="AH75" i="1"/>
  <c r="AF75" i="1"/>
  <c r="AD75" i="1"/>
  <c r="AB75" i="1"/>
  <c r="Z75" i="1"/>
  <c r="X75" i="1"/>
  <c r="V75" i="1"/>
  <c r="T75" i="1"/>
  <c r="R75" i="1"/>
  <c r="P75" i="1"/>
  <c r="N75" i="1"/>
  <c r="L75" i="1"/>
  <c r="J75" i="1"/>
  <c r="H75" i="1"/>
  <c r="F75" i="1"/>
  <c r="D75" i="1"/>
  <c r="DB73" i="1"/>
  <c r="CV73" i="1"/>
  <c r="CL73" i="1"/>
  <c r="CF73" i="1"/>
  <c r="BV73" i="1"/>
  <c r="BP73" i="1"/>
  <c r="BF73" i="1"/>
  <c r="AZ73" i="1"/>
  <c r="AP73" i="1"/>
  <c r="AJ73" i="1"/>
  <c r="Z73" i="1"/>
  <c r="T73" i="1"/>
  <c r="J73" i="1"/>
  <c r="DB71" i="1"/>
  <c r="CZ71" i="1"/>
  <c r="CX71" i="1"/>
  <c r="CV71" i="1"/>
  <c r="CT71" i="1"/>
  <c r="CR71" i="1"/>
  <c r="CP71" i="1"/>
  <c r="CN71" i="1"/>
  <c r="CL71" i="1"/>
  <c r="CJ71" i="1"/>
  <c r="CH71" i="1"/>
  <c r="CF71" i="1"/>
  <c r="CD71" i="1"/>
  <c r="CB71" i="1"/>
  <c r="BZ71" i="1"/>
  <c r="BX71" i="1"/>
  <c r="BV71" i="1"/>
  <c r="BT71" i="1"/>
  <c r="BR71" i="1"/>
  <c r="BP71" i="1"/>
  <c r="BN71" i="1"/>
  <c r="BL71" i="1"/>
  <c r="BJ71" i="1"/>
  <c r="BH71" i="1"/>
  <c r="BF71" i="1"/>
  <c r="BD71" i="1"/>
  <c r="BB71" i="1"/>
  <c r="AZ71" i="1"/>
  <c r="AX71" i="1"/>
  <c r="AV71" i="1"/>
  <c r="AT71" i="1"/>
  <c r="AR71" i="1"/>
  <c r="AP71" i="1"/>
  <c r="AN71" i="1"/>
  <c r="AL71" i="1"/>
  <c r="AJ71" i="1"/>
  <c r="AH71" i="1"/>
  <c r="AF71" i="1"/>
  <c r="AD71" i="1"/>
  <c r="AB71" i="1"/>
  <c r="Z71" i="1"/>
  <c r="X71" i="1"/>
  <c r="V71" i="1"/>
  <c r="T71" i="1"/>
  <c r="R71" i="1"/>
  <c r="P71" i="1"/>
  <c r="N71" i="1"/>
  <c r="L71" i="1"/>
  <c r="J71" i="1"/>
  <c r="H71" i="1"/>
  <c r="F71" i="1"/>
  <c r="D71" i="1"/>
  <c r="DB70" i="1"/>
  <c r="CZ70" i="1"/>
  <c r="CX70" i="1"/>
  <c r="CX73" i="1" s="1"/>
  <c r="CV70" i="1"/>
  <c r="CT70" i="1"/>
  <c r="CT73" i="1" s="1"/>
  <c r="CR70" i="1"/>
  <c r="CR73" i="1" s="1"/>
  <c r="CP70" i="1"/>
  <c r="CN70" i="1"/>
  <c r="CL70" i="1"/>
  <c r="CJ70" i="1"/>
  <c r="CH70" i="1"/>
  <c r="CH73" i="1" s="1"/>
  <c r="CF70" i="1"/>
  <c r="CD70" i="1"/>
  <c r="CD73" i="1" s="1"/>
  <c r="CB70" i="1"/>
  <c r="CB73" i="1" s="1"/>
  <c r="BZ70" i="1"/>
  <c r="BX70" i="1"/>
  <c r="BV70" i="1"/>
  <c r="BT70" i="1"/>
  <c r="BR70" i="1"/>
  <c r="BR73" i="1" s="1"/>
  <c r="BP70" i="1"/>
  <c r="BN70" i="1"/>
  <c r="BN73" i="1" s="1"/>
  <c r="BL70" i="1"/>
  <c r="BL73" i="1" s="1"/>
  <c r="BJ70" i="1"/>
  <c r="BH70" i="1"/>
  <c r="BF70" i="1"/>
  <c r="BD70" i="1"/>
  <c r="BB70" i="1"/>
  <c r="BB73" i="1" s="1"/>
  <c r="AZ70" i="1"/>
  <c r="AX70" i="1"/>
  <c r="AX73" i="1" s="1"/>
  <c r="AV70" i="1"/>
  <c r="AV73" i="1" s="1"/>
  <c r="AT70" i="1"/>
  <c r="AR70" i="1"/>
  <c r="AP70" i="1"/>
  <c r="AN70" i="1"/>
  <c r="AL70" i="1"/>
  <c r="AL73" i="1" s="1"/>
  <c r="AJ70" i="1"/>
  <c r="AH70" i="1"/>
  <c r="AH73" i="1" s="1"/>
  <c r="AF70" i="1"/>
  <c r="AF73" i="1" s="1"/>
  <c r="AD70" i="1"/>
  <c r="AB70" i="1"/>
  <c r="Z70" i="1"/>
  <c r="X70" i="1"/>
  <c r="V70" i="1"/>
  <c r="V73" i="1" s="1"/>
  <c r="T70" i="1"/>
  <c r="R70" i="1"/>
  <c r="R73" i="1" s="1"/>
  <c r="P70" i="1"/>
  <c r="P73" i="1" s="1"/>
  <c r="N70" i="1"/>
  <c r="L70" i="1"/>
  <c r="J70" i="1"/>
  <c r="H70" i="1"/>
  <c r="H73" i="1" s="1"/>
  <c r="F70" i="1"/>
  <c r="F73" i="1" s="1"/>
  <c r="D70" i="1"/>
  <c r="CZ68" i="1"/>
  <c r="CN68" i="1"/>
  <c r="CJ68" i="1"/>
  <c r="BX68" i="1"/>
  <c r="BT68" i="1"/>
  <c r="BH68" i="1"/>
  <c r="BD68" i="1"/>
  <c r="AR68" i="1"/>
  <c r="AN68" i="1"/>
  <c r="AB68" i="1"/>
  <c r="X68" i="1"/>
  <c r="L68" i="1"/>
  <c r="H68" i="1"/>
  <c r="DB66" i="1"/>
  <c r="DB68" i="1" s="1"/>
  <c r="CZ66" i="1"/>
  <c r="CX66" i="1"/>
  <c r="CV66" i="1"/>
  <c r="CV68" i="1" s="1"/>
  <c r="CT66" i="1"/>
  <c r="CR66" i="1"/>
  <c r="CP66" i="1"/>
  <c r="CP68" i="1" s="1"/>
  <c r="CN66" i="1"/>
  <c r="CL66" i="1"/>
  <c r="CL68" i="1" s="1"/>
  <c r="CJ66" i="1"/>
  <c r="CH66" i="1"/>
  <c r="CF66" i="1"/>
  <c r="CF68" i="1" s="1"/>
  <c r="CD66" i="1"/>
  <c r="CB66" i="1"/>
  <c r="BZ66" i="1"/>
  <c r="BZ68" i="1" s="1"/>
  <c r="BX66" i="1"/>
  <c r="BV66" i="1"/>
  <c r="BV68" i="1" s="1"/>
  <c r="BT66" i="1"/>
  <c r="BR66" i="1"/>
  <c r="BP66" i="1"/>
  <c r="BP68" i="1" s="1"/>
  <c r="BN66" i="1"/>
  <c r="BL66" i="1"/>
  <c r="BJ66" i="1"/>
  <c r="BJ68" i="1" s="1"/>
  <c r="BH66" i="1"/>
  <c r="BF66" i="1"/>
  <c r="BF68" i="1" s="1"/>
  <c r="BD66" i="1"/>
  <c r="BB66" i="1"/>
  <c r="AZ66" i="1"/>
  <c r="AZ68" i="1" s="1"/>
  <c r="AX66" i="1"/>
  <c r="AV66" i="1"/>
  <c r="AT66" i="1"/>
  <c r="AT68" i="1" s="1"/>
  <c r="AR66" i="1"/>
  <c r="AP66" i="1"/>
  <c r="AP68" i="1" s="1"/>
  <c r="AN66" i="1"/>
  <c r="AL66" i="1"/>
  <c r="AJ66" i="1"/>
  <c r="AJ68" i="1" s="1"/>
  <c r="AH66" i="1"/>
  <c r="AF66" i="1"/>
  <c r="AD66" i="1"/>
  <c r="AD68" i="1" s="1"/>
  <c r="AB66" i="1"/>
  <c r="Z66" i="1"/>
  <c r="Z68" i="1" s="1"/>
  <c r="X66" i="1"/>
  <c r="V66" i="1"/>
  <c r="T66" i="1"/>
  <c r="T68" i="1" s="1"/>
  <c r="R66" i="1"/>
  <c r="P66" i="1"/>
  <c r="N66" i="1"/>
  <c r="N68" i="1" s="1"/>
  <c r="L66" i="1"/>
  <c r="J66" i="1"/>
  <c r="J68" i="1" s="1"/>
  <c r="H66" i="1"/>
  <c r="F66" i="1"/>
  <c r="D66" i="1"/>
  <c r="D68" i="1" s="1"/>
  <c r="CR64" i="1"/>
  <c r="CN64" i="1"/>
  <c r="CF64" i="1"/>
  <c r="CB64" i="1"/>
  <c r="BX64" i="1"/>
  <c r="BP64" i="1"/>
  <c r="BL64" i="1"/>
  <c r="BH64" i="1"/>
  <c r="AZ64" i="1"/>
  <c r="AV64" i="1"/>
  <c r="AR64" i="1"/>
  <c r="AJ64" i="1"/>
  <c r="AF64" i="1"/>
  <c r="AB64" i="1"/>
  <c r="T64" i="1"/>
  <c r="P64" i="1"/>
  <c r="L64" i="1"/>
  <c r="D64" i="1"/>
  <c r="DB62" i="1"/>
  <c r="CZ62" i="1"/>
  <c r="CZ64" i="1" s="1"/>
  <c r="CX62" i="1"/>
  <c r="CV62" i="1"/>
  <c r="CT62" i="1"/>
  <c r="CT64" i="1" s="1"/>
  <c r="CR62" i="1"/>
  <c r="CP62" i="1"/>
  <c r="CP64" i="1" s="1"/>
  <c r="CN62" i="1"/>
  <c r="CL62" i="1"/>
  <c r="CJ62" i="1"/>
  <c r="CJ64" i="1" s="1"/>
  <c r="CH62" i="1"/>
  <c r="CF62" i="1"/>
  <c r="CD62" i="1"/>
  <c r="CB62" i="1"/>
  <c r="BZ62" i="1"/>
  <c r="BX62" i="1"/>
  <c r="BV62" i="1"/>
  <c r="BT62" i="1"/>
  <c r="BT64" i="1" s="1"/>
  <c r="BR62" i="1"/>
  <c r="BP62" i="1"/>
  <c r="BN62" i="1"/>
  <c r="BL62" i="1"/>
  <c r="BJ62" i="1"/>
  <c r="BH62" i="1"/>
  <c r="BF62" i="1"/>
  <c r="BD62" i="1"/>
  <c r="BD64" i="1" s="1"/>
  <c r="BB62" i="1"/>
  <c r="AZ62" i="1"/>
  <c r="AX62" i="1"/>
  <c r="AV62" i="1"/>
  <c r="AT62" i="1"/>
  <c r="AR62" i="1"/>
  <c r="AP62" i="1"/>
  <c r="AN62" i="1"/>
  <c r="AN64" i="1" s="1"/>
  <c r="AL62" i="1"/>
  <c r="AJ62" i="1"/>
  <c r="AH62" i="1"/>
  <c r="AF62" i="1"/>
  <c r="AD62" i="1"/>
  <c r="AB62" i="1"/>
  <c r="Z62" i="1"/>
  <c r="X62" i="1"/>
  <c r="X64" i="1" s="1"/>
  <c r="V62" i="1"/>
  <c r="T62" i="1"/>
  <c r="R62" i="1"/>
  <c r="P62" i="1"/>
  <c r="N62" i="1"/>
  <c r="L62" i="1"/>
  <c r="J62" i="1"/>
  <c r="H62" i="1"/>
  <c r="H64" i="1" s="1"/>
  <c r="F62" i="1"/>
  <c r="D62" i="1"/>
  <c r="DD62" i="1" s="1"/>
  <c r="DB48" i="1"/>
  <c r="DB50" i="1" s="1"/>
  <c r="CZ48" i="1"/>
  <c r="CX48" i="1"/>
  <c r="CX50" i="1" s="1"/>
  <c r="CV48" i="1"/>
  <c r="CT48" i="1"/>
  <c r="CT50" i="1" s="1"/>
  <c r="CR48" i="1"/>
  <c r="CP48" i="1"/>
  <c r="CP50" i="1" s="1"/>
  <c r="CN48" i="1"/>
  <c r="CL48" i="1"/>
  <c r="CL50" i="1" s="1"/>
  <c r="CJ48" i="1"/>
  <c r="CH48" i="1"/>
  <c r="CH50" i="1" s="1"/>
  <c r="CF48" i="1"/>
  <c r="CD48" i="1"/>
  <c r="CD50" i="1" s="1"/>
  <c r="CB48" i="1"/>
  <c r="BZ48" i="1"/>
  <c r="BZ50" i="1" s="1"/>
  <c r="BX48" i="1"/>
  <c r="BV48" i="1"/>
  <c r="BV50" i="1" s="1"/>
  <c r="BT48" i="1"/>
  <c r="BR48" i="1"/>
  <c r="BR50" i="1" s="1"/>
  <c r="BP48" i="1"/>
  <c r="BN48" i="1"/>
  <c r="BN50" i="1" s="1"/>
  <c r="BL48" i="1"/>
  <c r="BJ48" i="1"/>
  <c r="BJ50" i="1" s="1"/>
  <c r="BH48" i="1"/>
  <c r="BF48" i="1"/>
  <c r="BF50" i="1" s="1"/>
  <c r="BD48" i="1"/>
  <c r="BB48" i="1"/>
  <c r="BB50" i="1" s="1"/>
  <c r="AZ48" i="1"/>
  <c r="AX48" i="1"/>
  <c r="AX50" i="1" s="1"/>
  <c r="AV48" i="1"/>
  <c r="AT48" i="1"/>
  <c r="AT50" i="1" s="1"/>
  <c r="AR48" i="1"/>
  <c r="AP48" i="1"/>
  <c r="AP50" i="1" s="1"/>
  <c r="AN48" i="1"/>
  <c r="AL48" i="1"/>
  <c r="AL50" i="1" s="1"/>
  <c r="AJ48" i="1"/>
  <c r="AH48" i="1"/>
  <c r="AH50" i="1" s="1"/>
  <c r="AF48" i="1"/>
  <c r="AD48" i="1"/>
  <c r="AD50" i="1" s="1"/>
  <c r="AB48" i="1"/>
  <c r="Z48" i="1"/>
  <c r="Z50" i="1" s="1"/>
  <c r="X48" i="1"/>
  <c r="V48" i="1"/>
  <c r="V50" i="1" s="1"/>
  <c r="T48" i="1"/>
  <c r="R48" i="1"/>
  <c r="R50" i="1" s="1"/>
  <c r="P48" i="1"/>
  <c r="N48" i="1"/>
  <c r="N50" i="1" s="1"/>
  <c r="L48" i="1"/>
  <c r="J48" i="1"/>
  <c r="J50" i="1" s="1"/>
  <c r="H48" i="1"/>
  <c r="F48" i="1"/>
  <c r="F50" i="1" s="1"/>
  <c r="D48" i="1"/>
  <c r="DB44" i="1"/>
  <c r="DB46" i="1" s="1"/>
  <c r="CZ44" i="1"/>
  <c r="CX44" i="1"/>
  <c r="CX46" i="1" s="1"/>
  <c r="CV44" i="1"/>
  <c r="CT44" i="1"/>
  <c r="CT46" i="1" s="1"/>
  <c r="CR44" i="1"/>
  <c r="CP44" i="1"/>
  <c r="CP46" i="1" s="1"/>
  <c r="CN44" i="1"/>
  <c r="CL44" i="1"/>
  <c r="CL46" i="1" s="1"/>
  <c r="CJ44" i="1"/>
  <c r="CH44" i="1"/>
  <c r="CH46" i="1" s="1"/>
  <c r="CF44" i="1"/>
  <c r="CD44" i="1"/>
  <c r="CD46" i="1" s="1"/>
  <c r="CB44" i="1"/>
  <c r="BZ44" i="1"/>
  <c r="BZ46" i="1" s="1"/>
  <c r="BX44" i="1"/>
  <c r="BV44" i="1"/>
  <c r="BV46" i="1" s="1"/>
  <c r="BT44" i="1"/>
  <c r="BR44" i="1"/>
  <c r="BR46" i="1" s="1"/>
  <c r="BP44" i="1"/>
  <c r="BN44" i="1"/>
  <c r="BN46" i="1" s="1"/>
  <c r="BL44" i="1"/>
  <c r="BJ44" i="1"/>
  <c r="BJ46" i="1" s="1"/>
  <c r="BH44" i="1"/>
  <c r="BF44" i="1"/>
  <c r="BF46" i="1" s="1"/>
  <c r="BD44" i="1"/>
  <c r="BB44" i="1"/>
  <c r="BB46" i="1" s="1"/>
  <c r="AZ44" i="1"/>
  <c r="AX44" i="1"/>
  <c r="AX46" i="1" s="1"/>
  <c r="AV44" i="1"/>
  <c r="AT44" i="1"/>
  <c r="AT46" i="1" s="1"/>
  <c r="AR44" i="1"/>
  <c r="AP44" i="1"/>
  <c r="AP46" i="1" s="1"/>
  <c r="AN44" i="1"/>
  <c r="AL44" i="1"/>
  <c r="AL46" i="1" s="1"/>
  <c r="AJ44" i="1"/>
  <c r="AH44" i="1"/>
  <c r="AH46" i="1" s="1"/>
  <c r="AF44" i="1"/>
  <c r="AD44" i="1"/>
  <c r="AD46" i="1" s="1"/>
  <c r="AB44" i="1"/>
  <c r="Z44" i="1"/>
  <c r="Z46" i="1" s="1"/>
  <c r="X44" i="1"/>
  <c r="V44" i="1"/>
  <c r="V46" i="1" s="1"/>
  <c r="T44" i="1"/>
  <c r="R44" i="1"/>
  <c r="R46" i="1" s="1"/>
  <c r="P44" i="1"/>
  <c r="N44" i="1"/>
  <c r="N46" i="1" s="1"/>
  <c r="L44" i="1"/>
  <c r="J44" i="1"/>
  <c r="J46" i="1" s="1"/>
  <c r="H44" i="1"/>
  <c r="F44" i="1"/>
  <c r="F46" i="1" s="1"/>
  <c r="D44" i="1"/>
  <c r="DB38" i="1"/>
  <c r="CZ38" i="1"/>
  <c r="CX38" i="1"/>
  <c r="CV38" i="1"/>
  <c r="CT38" i="1"/>
  <c r="CR38" i="1"/>
  <c r="CP38" i="1"/>
  <c r="CN38" i="1"/>
  <c r="CL38" i="1"/>
  <c r="CJ38" i="1"/>
  <c r="CH38" i="1"/>
  <c r="CF38" i="1"/>
  <c r="CD38" i="1"/>
  <c r="CB38" i="1"/>
  <c r="BZ38" i="1"/>
  <c r="BX38" i="1"/>
  <c r="BV38" i="1"/>
  <c r="BT38" i="1"/>
  <c r="BR38" i="1"/>
  <c r="BP38" i="1"/>
  <c r="BN38" i="1"/>
  <c r="BL38" i="1"/>
  <c r="BJ38" i="1"/>
  <c r="BH38" i="1"/>
  <c r="BF38" i="1"/>
  <c r="BD38" i="1"/>
  <c r="BB38" i="1"/>
  <c r="AZ38" i="1"/>
  <c r="AX38" i="1"/>
  <c r="AV38" i="1"/>
  <c r="AT38" i="1"/>
  <c r="AR38" i="1"/>
  <c r="AP38" i="1"/>
  <c r="AN38" i="1"/>
  <c r="AL38" i="1"/>
  <c r="AJ38" i="1"/>
  <c r="AH38" i="1"/>
  <c r="AF38" i="1"/>
  <c r="AD38" i="1"/>
  <c r="AB38" i="1"/>
  <c r="Z38" i="1"/>
  <c r="X38" i="1"/>
  <c r="V38" i="1"/>
  <c r="T38" i="1"/>
  <c r="R38" i="1"/>
  <c r="P38" i="1"/>
  <c r="N38" i="1"/>
  <c r="L38" i="1"/>
  <c r="J38" i="1"/>
  <c r="H38" i="1"/>
  <c r="F38" i="1"/>
  <c r="D38" i="1"/>
  <c r="DB37" i="1"/>
  <c r="CZ37" i="1"/>
  <c r="CX37" i="1"/>
  <c r="CV37" i="1"/>
  <c r="CT37" i="1"/>
  <c r="CR37" i="1"/>
  <c r="CP37" i="1"/>
  <c r="CN37" i="1"/>
  <c r="CL37" i="1"/>
  <c r="CJ37" i="1"/>
  <c r="CH37" i="1"/>
  <c r="CF37" i="1"/>
  <c r="CD37" i="1"/>
  <c r="CB37" i="1"/>
  <c r="BZ37" i="1"/>
  <c r="BX37" i="1"/>
  <c r="BV37" i="1"/>
  <c r="BT37" i="1"/>
  <c r="BR37" i="1"/>
  <c r="BP37" i="1"/>
  <c r="BN37" i="1"/>
  <c r="BL37" i="1"/>
  <c r="BJ37" i="1"/>
  <c r="BH37" i="1"/>
  <c r="BF37" i="1"/>
  <c r="BD37" i="1"/>
  <c r="BB37" i="1"/>
  <c r="AZ37" i="1"/>
  <c r="AX37" i="1"/>
  <c r="AV37" i="1"/>
  <c r="AT37" i="1"/>
  <c r="AR37" i="1"/>
  <c r="AP37" i="1"/>
  <c r="AN37" i="1"/>
  <c r="AL37" i="1"/>
  <c r="AJ37" i="1"/>
  <c r="AH37" i="1"/>
  <c r="AF37" i="1"/>
  <c r="AD37" i="1"/>
  <c r="AB37" i="1"/>
  <c r="Z37" i="1"/>
  <c r="X37" i="1"/>
  <c r="V37" i="1"/>
  <c r="T37" i="1"/>
  <c r="R37" i="1"/>
  <c r="P37" i="1"/>
  <c r="N37" i="1"/>
  <c r="L37" i="1"/>
  <c r="J37" i="1"/>
  <c r="H37" i="1"/>
  <c r="F37" i="1"/>
  <c r="D37" i="1"/>
  <c r="DB36" i="1"/>
  <c r="CZ36" i="1"/>
  <c r="CX36" i="1"/>
  <c r="CV36" i="1"/>
  <c r="CT36" i="1"/>
  <c r="CR36" i="1"/>
  <c r="CP36" i="1"/>
  <c r="CN36" i="1"/>
  <c r="CL36" i="1"/>
  <c r="CJ36" i="1"/>
  <c r="CH36" i="1"/>
  <c r="CF36" i="1"/>
  <c r="CD36" i="1"/>
  <c r="CB36" i="1"/>
  <c r="BZ36" i="1"/>
  <c r="BX36" i="1"/>
  <c r="BV36" i="1"/>
  <c r="BT36" i="1"/>
  <c r="BR36" i="1"/>
  <c r="BP36" i="1"/>
  <c r="BN36" i="1"/>
  <c r="BL36" i="1"/>
  <c r="BJ36" i="1"/>
  <c r="BH36" i="1"/>
  <c r="BF36" i="1"/>
  <c r="BD36" i="1"/>
  <c r="BB36" i="1"/>
  <c r="AZ36" i="1"/>
  <c r="AX36" i="1"/>
  <c r="AV36" i="1"/>
  <c r="AT36" i="1"/>
  <c r="AR36" i="1"/>
  <c r="AP36" i="1"/>
  <c r="AN36" i="1"/>
  <c r="AL36" i="1"/>
  <c r="AJ36" i="1"/>
  <c r="AH36" i="1"/>
  <c r="AF36" i="1"/>
  <c r="AD36" i="1"/>
  <c r="AB36" i="1"/>
  <c r="Z36" i="1"/>
  <c r="X36" i="1"/>
  <c r="V36" i="1"/>
  <c r="T36" i="1"/>
  <c r="R36" i="1"/>
  <c r="P36" i="1"/>
  <c r="N36" i="1"/>
  <c r="L36" i="1"/>
  <c r="J36" i="1"/>
  <c r="H36" i="1"/>
  <c r="F36" i="1"/>
  <c r="D36" i="1"/>
  <c r="DB35" i="1"/>
  <c r="CZ35" i="1"/>
  <c r="CX35" i="1"/>
  <c r="CV35" i="1"/>
  <c r="CT35" i="1"/>
  <c r="CR35" i="1"/>
  <c r="CP35" i="1"/>
  <c r="CN35" i="1"/>
  <c r="CL35" i="1"/>
  <c r="CJ35" i="1"/>
  <c r="CH35" i="1"/>
  <c r="CF35" i="1"/>
  <c r="CD35" i="1"/>
  <c r="CB35" i="1"/>
  <c r="BZ35" i="1"/>
  <c r="BX35" i="1"/>
  <c r="BV35" i="1"/>
  <c r="BT35" i="1"/>
  <c r="BR35" i="1"/>
  <c r="BP35" i="1"/>
  <c r="BN35" i="1"/>
  <c r="BL35" i="1"/>
  <c r="BJ35" i="1"/>
  <c r="BH35" i="1"/>
  <c r="BF35" i="1"/>
  <c r="BD35" i="1"/>
  <c r="BB35" i="1"/>
  <c r="AZ35" i="1"/>
  <c r="AX35" i="1"/>
  <c r="AV35" i="1"/>
  <c r="AT35" i="1"/>
  <c r="AR35" i="1"/>
  <c r="AP35" i="1"/>
  <c r="AN35" i="1"/>
  <c r="AL35" i="1"/>
  <c r="AJ35" i="1"/>
  <c r="AH35" i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F35" i="1"/>
  <c r="D35" i="1"/>
  <c r="CZ31" i="1"/>
  <c r="CV31" i="1"/>
  <c r="CR31" i="1"/>
  <c r="CN31" i="1"/>
  <c r="CJ31" i="1"/>
  <c r="CF31" i="1"/>
  <c r="CB31" i="1"/>
  <c r="BX31" i="1"/>
  <c r="BT31" i="1"/>
  <c r="BP31" i="1"/>
  <c r="BL31" i="1"/>
  <c r="BH31" i="1"/>
  <c r="BD31" i="1"/>
  <c r="AZ31" i="1"/>
  <c r="AV31" i="1"/>
  <c r="AR31" i="1"/>
  <c r="AN31" i="1"/>
  <c r="AJ31" i="1"/>
  <c r="AF31" i="1"/>
  <c r="AB31" i="1"/>
  <c r="X31" i="1"/>
  <c r="T31" i="1"/>
  <c r="P31" i="1"/>
  <c r="L31" i="1"/>
  <c r="H31" i="1"/>
  <c r="D31" i="1"/>
  <c r="DB29" i="1"/>
  <c r="CZ29" i="1"/>
  <c r="CX29" i="1"/>
  <c r="CV29" i="1"/>
  <c r="CT29" i="1"/>
  <c r="CR29" i="1"/>
  <c r="CP29" i="1"/>
  <c r="CN29" i="1"/>
  <c r="CL29" i="1"/>
  <c r="CJ29" i="1"/>
  <c r="CH29" i="1"/>
  <c r="CF29" i="1"/>
  <c r="CD29" i="1"/>
  <c r="CB29" i="1"/>
  <c r="BZ29" i="1"/>
  <c r="BX29" i="1"/>
  <c r="BV29" i="1"/>
  <c r="BT29" i="1"/>
  <c r="BR29" i="1"/>
  <c r="BP29" i="1"/>
  <c r="BN29" i="1"/>
  <c r="BL29" i="1"/>
  <c r="BJ29" i="1"/>
  <c r="BH29" i="1"/>
  <c r="BF29" i="1"/>
  <c r="BD29" i="1"/>
  <c r="BB29" i="1"/>
  <c r="AZ29" i="1"/>
  <c r="AX29" i="1"/>
  <c r="AV29" i="1"/>
  <c r="AT29" i="1"/>
  <c r="AR29" i="1"/>
  <c r="AP29" i="1"/>
  <c r="AN29" i="1"/>
  <c r="AL29" i="1"/>
  <c r="AJ29" i="1"/>
  <c r="AH29" i="1"/>
  <c r="AF29" i="1"/>
  <c r="AD29" i="1"/>
  <c r="AB29" i="1"/>
  <c r="Z29" i="1"/>
  <c r="X29" i="1"/>
  <c r="V29" i="1"/>
  <c r="T29" i="1"/>
  <c r="R29" i="1"/>
  <c r="P29" i="1"/>
  <c r="N29" i="1"/>
  <c r="L29" i="1"/>
  <c r="J29" i="1"/>
  <c r="H29" i="1"/>
  <c r="F29" i="1"/>
  <c r="D29" i="1"/>
  <c r="CN28" i="1"/>
  <c r="BX28" i="1"/>
  <c r="BH28" i="1"/>
  <c r="AR28" i="1"/>
  <c r="AB28" i="1"/>
  <c r="L28" i="1"/>
  <c r="DB26" i="1"/>
  <c r="CZ26" i="1"/>
  <c r="CX26" i="1"/>
  <c r="CV26" i="1"/>
  <c r="CT26" i="1"/>
  <c r="CR26" i="1"/>
  <c r="CP26" i="1"/>
  <c r="CN26" i="1"/>
  <c r="CL26" i="1"/>
  <c r="CJ26" i="1"/>
  <c r="CH26" i="1"/>
  <c r="CF26" i="1"/>
  <c r="CD26" i="1"/>
  <c r="CB26" i="1"/>
  <c r="BZ26" i="1"/>
  <c r="BX26" i="1"/>
  <c r="BV26" i="1"/>
  <c r="BT26" i="1"/>
  <c r="BR26" i="1"/>
  <c r="BP26" i="1"/>
  <c r="BN26" i="1"/>
  <c r="BL26" i="1"/>
  <c r="BJ26" i="1"/>
  <c r="BH26" i="1"/>
  <c r="BF26" i="1"/>
  <c r="BD26" i="1"/>
  <c r="BB26" i="1"/>
  <c r="AZ26" i="1"/>
  <c r="AX26" i="1"/>
  <c r="AV26" i="1"/>
  <c r="AT26" i="1"/>
  <c r="AR26" i="1"/>
  <c r="AP26" i="1"/>
  <c r="AN26" i="1"/>
  <c r="AL26" i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D26" i="1"/>
  <c r="DB25" i="1"/>
  <c r="CZ25" i="1"/>
  <c r="CT25" i="1"/>
  <c r="CR25" i="1"/>
  <c r="CL25" i="1"/>
  <c r="CJ25" i="1"/>
  <c r="CD25" i="1"/>
  <c r="CB25" i="1"/>
  <c r="BV25" i="1"/>
  <c r="BT25" i="1"/>
  <c r="BN25" i="1"/>
  <c r="BL25" i="1"/>
  <c r="BF25" i="1"/>
  <c r="BD25" i="1"/>
  <c r="AX25" i="1"/>
  <c r="AV25" i="1"/>
  <c r="AP25" i="1"/>
  <c r="AN25" i="1"/>
  <c r="AH25" i="1"/>
  <c r="AF25" i="1"/>
  <c r="Z25" i="1"/>
  <c r="X25" i="1"/>
  <c r="R25" i="1"/>
  <c r="P25" i="1"/>
  <c r="J25" i="1"/>
  <c r="H25" i="1"/>
  <c r="DB23" i="1"/>
  <c r="CZ23" i="1"/>
  <c r="CX23" i="1"/>
  <c r="CV23" i="1"/>
  <c r="CT23" i="1"/>
  <c r="CR23" i="1"/>
  <c r="CP23" i="1"/>
  <c r="CN23" i="1"/>
  <c r="CL23" i="1"/>
  <c r="CJ23" i="1"/>
  <c r="CH23" i="1"/>
  <c r="CF23" i="1"/>
  <c r="CD23" i="1"/>
  <c r="CB23" i="1"/>
  <c r="BZ23" i="1"/>
  <c r="BX23" i="1"/>
  <c r="BV23" i="1"/>
  <c r="BT23" i="1"/>
  <c r="BR23" i="1"/>
  <c r="BP23" i="1"/>
  <c r="BN23" i="1"/>
  <c r="BL23" i="1"/>
  <c r="BJ23" i="1"/>
  <c r="BH23" i="1"/>
  <c r="BF23" i="1"/>
  <c r="BD23" i="1"/>
  <c r="BB23" i="1"/>
  <c r="AZ23" i="1"/>
  <c r="AX23" i="1"/>
  <c r="AV23" i="1"/>
  <c r="AT23" i="1"/>
  <c r="AR23" i="1"/>
  <c r="AP23" i="1"/>
  <c r="AN23" i="1"/>
  <c r="AL23" i="1"/>
  <c r="AJ23" i="1"/>
  <c r="AH23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F23" i="1"/>
  <c r="D23" i="1"/>
  <c r="CN19" i="1"/>
  <c r="BX19" i="1"/>
  <c r="BJ19" i="1"/>
  <c r="BH19" i="1"/>
  <c r="BF19" i="1"/>
  <c r="BB19" i="1"/>
  <c r="AT19" i="1"/>
  <c r="AR19" i="1"/>
  <c r="AP19" i="1"/>
  <c r="AL19" i="1"/>
  <c r="AD19" i="1"/>
  <c r="AB19" i="1"/>
  <c r="Z19" i="1"/>
  <c r="V19" i="1"/>
  <c r="N19" i="1"/>
  <c r="L19" i="1"/>
  <c r="J19" i="1"/>
  <c r="F19" i="1"/>
  <c r="DB17" i="1"/>
  <c r="DB19" i="1" s="1"/>
  <c r="CZ17" i="1"/>
  <c r="CZ19" i="1" s="1"/>
  <c r="CX17" i="1"/>
  <c r="CV17" i="1"/>
  <c r="CT17" i="1"/>
  <c r="CT19" i="1" s="1"/>
  <c r="CR17" i="1"/>
  <c r="CR19" i="1" s="1"/>
  <c r="CP17" i="1"/>
  <c r="CP19" i="1" s="1"/>
  <c r="CN17" i="1"/>
  <c r="CL17" i="1"/>
  <c r="CL19" i="1" s="1"/>
  <c r="CJ17" i="1"/>
  <c r="CJ19" i="1" s="1"/>
  <c r="CH17" i="1"/>
  <c r="CF17" i="1"/>
  <c r="CD17" i="1"/>
  <c r="CD19" i="1" s="1"/>
  <c r="CB17" i="1"/>
  <c r="CB19" i="1" s="1"/>
  <c r="BZ17" i="1"/>
  <c r="BZ19" i="1" s="1"/>
  <c r="BX17" i="1"/>
  <c r="BV17" i="1"/>
  <c r="BV19" i="1" s="1"/>
  <c r="BT17" i="1"/>
  <c r="BT19" i="1" s="1"/>
  <c r="BR17" i="1"/>
  <c r="BP17" i="1"/>
  <c r="BN17" i="1"/>
  <c r="BN19" i="1" s="1"/>
  <c r="BL17" i="1"/>
  <c r="BL19" i="1" s="1"/>
  <c r="BJ17" i="1"/>
  <c r="BH17" i="1"/>
  <c r="BF17" i="1"/>
  <c r="BD17" i="1"/>
  <c r="BD19" i="1" s="1"/>
  <c r="BB17" i="1"/>
  <c r="AZ17" i="1"/>
  <c r="AZ19" i="1" s="1"/>
  <c r="AX17" i="1"/>
  <c r="AX19" i="1" s="1"/>
  <c r="AV17" i="1"/>
  <c r="AV19" i="1" s="1"/>
  <c r="AT17" i="1"/>
  <c r="AR17" i="1"/>
  <c r="AP17" i="1"/>
  <c r="AN17" i="1"/>
  <c r="AN19" i="1" s="1"/>
  <c r="AL17" i="1"/>
  <c r="AJ17" i="1"/>
  <c r="AJ19" i="1" s="1"/>
  <c r="AH17" i="1"/>
  <c r="AH19" i="1" s="1"/>
  <c r="AF17" i="1"/>
  <c r="AF19" i="1" s="1"/>
  <c r="AD17" i="1"/>
  <c r="AB17" i="1"/>
  <c r="Z17" i="1"/>
  <c r="X17" i="1"/>
  <c r="X19" i="1" s="1"/>
  <c r="V17" i="1"/>
  <c r="T17" i="1"/>
  <c r="T19" i="1" s="1"/>
  <c r="R17" i="1"/>
  <c r="R19" i="1" s="1"/>
  <c r="P17" i="1"/>
  <c r="P19" i="1" s="1"/>
  <c r="N17" i="1"/>
  <c r="L17" i="1"/>
  <c r="J17" i="1"/>
  <c r="H17" i="1"/>
  <c r="H19" i="1" s="1"/>
  <c r="F17" i="1"/>
  <c r="D17" i="1"/>
  <c r="D19" i="1" s="1"/>
  <c r="DB13" i="1"/>
  <c r="DC13" i="1" s="1"/>
  <c r="CZ13" i="1"/>
  <c r="CZ15" i="1" s="1"/>
  <c r="CX13" i="1"/>
  <c r="CY13" i="1" s="1"/>
  <c r="CV13" i="1"/>
  <c r="CV15" i="1" s="1"/>
  <c r="CT13" i="1"/>
  <c r="CU13" i="1" s="1"/>
  <c r="CR13" i="1"/>
  <c r="CR15" i="1" s="1"/>
  <c r="CP13" i="1"/>
  <c r="CQ13" i="1" s="1"/>
  <c r="CN13" i="1"/>
  <c r="CN15" i="1" s="1"/>
  <c r="CL13" i="1"/>
  <c r="CM13" i="1" s="1"/>
  <c r="CJ13" i="1"/>
  <c r="CJ15" i="1" s="1"/>
  <c r="CH13" i="1"/>
  <c r="CI13" i="1" s="1"/>
  <c r="CF13" i="1"/>
  <c r="CF15" i="1" s="1"/>
  <c r="CD13" i="1"/>
  <c r="CE13" i="1" s="1"/>
  <c r="CB13" i="1"/>
  <c r="CB15" i="1" s="1"/>
  <c r="BZ13" i="1"/>
  <c r="CA13" i="1" s="1"/>
  <c r="BX13" i="1"/>
  <c r="BX15" i="1" s="1"/>
  <c r="BV13" i="1"/>
  <c r="BW13" i="1" s="1"/>
  <c r="BT13" i="1"/>
  <c r="BT15" i="1" s="1"/>
  <c r="BR13" i="1"/>
  <c r="BS13" i="1" s="1"/>
  <c r="BP13" i="1"/>
  <c r="BP15" i="1" s="1"/>
  <c r="BN13" i="1"/>
  <c r="BO13" i="1" s="1"/>
  <c r="BL13" i="1"/>
  <c r="BL15" i="1" s="1"/>
  <c r="BJ13" i="1"/>
  <c r="BK13" i="1" s="1"/>
  <c r="BH13" i="1"/>
  <c r="BH15" i="1" s="1"/>
  <c r="BF13" i="1"/>
  <c r="BG13" i="1" s="1"/>
  <c r="BD13" i="1"/>
  <c r="BD15" i="1" s="1"/>
  <c r="BB13" i="1"/>
  <c r="BC13" i="1" s="1"/>
  <c r="AZ13" i="1"/>
  <c r="AZ15" i="1" s="1"/>
  <c r="AX13" i="1"/>
  <c r="AY13" i="1" s="1"/>
  <c r="AV13" i="1"/>
  <c r="AV15" i="1" s="1"/>
  <c r="AT13" i="1"/>
  <c r="AU13" i="1" s="1"/>
  <c r="AR13" i="1"/>
  <c r="AR15" i="1" s="1"/>
  <c r="AP13" i="1"/>
  <c r="AQ13" i="1" s="1"/>
  <c r="AN13" i="1"/>
  <c r="AN15" i="1" s="1"/>
  <c r="AL13" i="1"/>
  <c r="AM13" i="1" s="1"/>
  <c r="AJ13" i="1"/>
  <c r="AJ15" i="1" s="1"/>
  <c r="AH13" i="1"/>
  <c r="AI13" i="1" s="1"/>
  <c r="AF13" i="1"/>
  <c r="AF15" i="1" s="1"/>
  <c r="AD13" i="1"/>
  <c r="AE13" i="1" s="1"/>
  <c r="AB13" i="1"/>
  <c r="AB15" i="1" s="1"/>
  <c r="Z13" i="1"/>
  <c r="AA13" i="1" s="1"/>
  <c r="X13" i="1"/>
  <c r="X15" i="1" s="1"/>
  <c r="V13" i="1"/>
  <c r="W13" i="1" s="1"/>
  <c r="T13" i="1"/>
  <c r="T15" i="1" s="1"/>
  <c r="R13" i="1"/>
  <c r="S13" i="1" s="1"/>
  <c r="P13" i="1"/>
  <c r="P15" i="1" s="1"/>
  <c r="N13" i="1"/>
  <c r="O13" i="1" s="1"/>
  <c r="L13" i="1"/>
  <c r="L15" i="1" s="1"/>
  <c r="J13" i="1"/>
  <c r="K13" i="1" s="1"/>
  <c r="H13" i="1"/>
  <c r="H15" i="1" s="1"/>
  <c r="F13" i="1"/>
  <c r="G13" i="1" s="1"/>
  <c r="D13" i="1"/>
  <c r="D15" i="1" s="1"/>
  <c r="DD11" i="1"/>
  <c r="DB11" i="1"/>
  <c r="DC11" i="1" s="1"/>
  <c r="CZ11" i="1"/>
  <c r="CX11" i="1"/>
  <c r="CV11" i="1"/>
  <c r="CT11" i="1"/>
  <c r="CR11" i="1"/>
  <c r="CP11" i="1"/>
  <c r="CQ11" i="1" s="1"/>
  <c r="CN11" i="1"/>
  <c r="CL11" i="1"/>
  <c r="CJ11" i="1"/>
  <c r="CH11" i="1"/>
  <c r="CI11" i="1" s="1"/>
  <c r="CF11" i="1"/>
  <c r="CD11" i="1"/>
  <c r="CB11" i="1"/>
  <c r="BZ11" i="1"/>
  <c r="BX11" i="1"/>
  <c r="BV11" i="1"/>
  <c r="BW11" i="1" s="1"/>
  <c r="BT11" i="1"/>
  <c r="BR11" i="1"/>
  <c r="BP11" i="1"/>
  <c r="BN11" i="1"/>
  <c r="BL11" i="1"/>
  <c r="BJ11" i="1"/>
  <c r="BK11" i="1" s="1"/>
  <c r="BH11" i="1"/>
  <c r="BF11" i="1"/>
  <c r="BD11" i="1"/>
  <c r="BB11" i="1"/>
  <c r="AZ11" i="1"/>
  <c r="AX11" i="1"/>
  <c r="AY11" i="1" s="1"/>
  <c r="AV11" i="1"/>
  <c r="AT11" i="1"/>
  <c r="AR11" i="1"/>
  <c r="AP11" i="1"/>
  <c r="AN11" i="1"/>
  <c r="AL11" i="1"/>
  <c r="AJ11" i="1"/>
  <c r="AH11" i="1"/>
  <c r="AI11" i="1" s="1"/>
  <c r="AF11" i="1"/>
  <c r="AD11" i="1"/>
  <c r="AB11" i="1"/>
  <c r="Z11" i="1"/>
  <c r="X11" i="1"/>
  <c r="V11" i="1"/>
  <c r="W11" i="1" s="1"/>
  <c r="T11" i="1"/>
  <c r="R11" i="1"/>
  <c r="P11" i="1"/>
  <c r="N11" i="1"/>
  <c r="L11" i="1"/>
  <c r="J11" i="1"/>
  <c r="K11" i="1" s="1"/>
  <c r="H11" i="1"/>
  <c r="F11" i="1"/>
  <c r="D11" i="1"/>
  <c r="G43" i="4" l="1"/>
  <c r="E47" i="4"/>
  <c r="G61" i="2"/>
  <c r="G33" i="2"/>
  <c r="G45" i="2"/>
  <c r="E28" i="2"/>
  <c r="E71" i="2"/>
  <c r="E77" i="3"/>
  <c r="E81" i="2"/>
  <c r="G25" i="2"/>
  <c r="G39" i="2"/>
  <c r="G13" i="4"/>
  <c r="G15" i="2"/>
  <c r="G17" i="2"/>
  <c r="E26" i="2"/>
  <c r="G47" i="2"/>
  <c r="E11" i="3"/>
  <c r="G19" i="4"/>
  <c r="G63" i="2"/>
  <c r="E13" i="2"/>
  <c r="G43" i="2"/>
  <c r="E23" i="3"/>
  <c r="E67" i="3"/>
  <c r="E13" i="4"/>
  <c r="G29" i="2"/>
  <c r="E29" i="3"/>
  <c r="G13" i="2"/>
  <c r="G21" i="2"/>
  <c r="G23" i="2"/>
  <c r="G35" i="2"/>
  <c r="G36" i="2"/>
  <c r="E67" i="2"/>
  <c r="G75" i="2"/>
  <c r="E87" i="2"/>
  <c r="E26" i="3"/>
  <c r="E87" i="3"/>
  <c r="G96" i="2"/>
  <c r="G11" i="2"/>
  <c r="G31" i="2"/>
  <c r="F98" i="2"/>
  <c r="G98" i="2" s="1"/>
  <c r="G13" i="3"/>
  <c r="E28" i="4"/>
  <c r="G33" i="4"/>
  <c r="G36" i="4"/>
  <c r="G37" i="4"/>
  <c r="E87" i="4"/>
  <c r="D39" i="4"/>
  <c r="E19" i="2"/>
  <c r="G19" i="2"/>
  <c r="E36" i="2"/>
  <c r="G52" i="2"/>
  <c r="D39" i="2"/>
  <c r="D55" i="2" s="1"/>
  <c r="G37" i="2"/>
  <c r="G41" i="2"/>
  <c r="E75" i="2"/>
  <c r="E77" i="2"/>
  <c r="G93" i="2"/>
  <c r="G15" i="3"/>
  <c r="D28" i="3"/>
  <c r="E28" i="3" s="1"/>
  <c r="G25" i="4"/>
  <c r="G26" i="4"/>
  <c r="Q62" i="1"/>
  <c r="Q15" i="1"/>
  <c r="Q17" i="1"/>
  <c r="P21" i="1"/>
  <c r="Q21" i="1" s="1"/>
  <c r="M62" i="1"/>
  <c r="M15" i="1"/>
  <c r="L21" i="1"/>
  <c r="M21" i="1" s="1"/>
  <c r="M17" i="1"/>
  <c r="AC62" i="1"/>
  <c r="AC15" i="1"/>
  <c r="AB21" i="1"/>
  <c r="AC21" i="1" s="1"/>
  <c r="AC17" i="1"/>
  <c r="AK62" i="1"/>
  <c r="AK64" i="1"/>
  <c r="AJ21" i="1"/>
  <c r="AK21" i="1" s="1"/>
  <c r="AK15" i="1"/>
  <c r="AK17" i="1"/>
  <c r="BA62" i="1"/>
  <c r="BA64" i="1"/>
  <c r="AZ21" i="1"/>
  <c r="BA21" i="1" s="1"/>
  <c r="BA15" i="1"/>
  <c r="BA17" i="1"/>
  <c r="BI62" i="1"/>
  <c r="BI15" i="1"/>
  <c r="BH21" i="1"/>
  <c r="BI21" i="1" s="1"/>
  <c r="BI17" i="1"/>
  <c r="BY62" i="1"/>
  <c r="BY15" i="1"/>
  <c r="BX21" i="1"/>
  <c r="BY21" i="1" s="1"/>
  <c r="CG62" i="1"/>
  <c r="CG64" i="1"/>
  <c r="CG15" i="1"/>
  <c r="CW15" i="1"/>
  <c r="E19" i="1"/>
  <c r="U19" i="1"/>
  <c r="BA19" i="1"/>
  <c r="BY19" i="1"/>
  <c r="CO19" i="1"/>
  <c r="AG62" i="1"/>
  <c r="AG15" i="1"/>
  <c r="AG17" i="1"/>
  <c r="AF21" i="1"/>
  <c r="AG21" i="1" s="1"/>
  <c r="AW62" i="1"/>
  <c r="AW15" i="1"/>
  <c r="AW17" i="1"/>
  <c r="AV21" i="1"/>
  <c r="AW21" i="1" s="1"/>
  <c r="BM62" i="1"/>
  <c r="BM15" i="1"/>
  <c r="BM17" i="1"/>
  <c r="BL21" i="1"/>
  <c r="BM21" i="1" s="1"/>
  <c r="CC62" i="1"/>
  <c r="CC15" i="1"/>
  <c r="CB21" i="1"/>
  <c r="CC21" i="1" s="1"/>
  <c r="CS15" i="1"/>
  <c r="CR21" i="1"/>
  <c r="CS21" i="1" s="1"/>
  <c r="I19" i="1"/>
  <c r="AG19" i="1"/>
  <c r="AO19" i="1"/>
  <c r="BM19" i="1"/>
  <c r="CK19" i="1"/>
  <c r="AS19" i="1"/>
  <c r="I62" i="1"/>
  <c r="I15" i="1"/>
  <c r="H21" i="1"/>
  <c r="I21" i="1" s="1"/>
  <c r="I17" i="1"/>
  <c r="Y62" i="1"/>
  <c r="Y15" i="1"/>
  <c r="X21" i="1"/>
  <c r="Y21" i="1" s="1"/>
  <c r="Y17" i="1"/>
  <c r="AO62" i="1"/>
  <c r="AO15" i="1"/>
  <c r="AN21" i="1"/>
  <c r="AO21" i="1" s="1"/>
  <c r="AO17" i="1"/>
  <c r="BE62" i="1"/>
  <c r="BE15" i="1"/>
  <c r="BD21" i="1"/>
  <c r="BE21" i="1" s="1"/>
  <c r="BE17" i="1"/>
  <c r="BU62" i="1"/>
  <c r="BU15" i="1"/>
  <c r="BT21" i="1"/>
  <c r="BU21" i="1" s="1"/>
  <c r="CK62" i="1"/>
  <c r="CK15" i="1"/>
  <c r="CJ21" i="1"/>
  <c r="CK21" i="1" s="1"/>
  <c r="DA15" i="1"/>
  <c r="CZ21" i="1"/>
  <c r="DA21" i="1" s="1"/>
  <c r="Q19" i="1"/>
  <c r="Y19" i="1"/>
  <c r="AW19" i="1"/>
  <c r="BE19" i="1"/>
  <c r="BU19" i="1"/>
  <c r="CC19" i="1"/>
  <c r="CS19" i="1"/>
  <c r="DA19" i="1"/>
  <c r="M19" i="1"/>
  <c r="AC19" i="1"/>
  <c r="BI19" i="1"/>
  <c r="E62" i="1"/>
  <c r="E64" i="1"/>
  <c r="D21" i="1"/>
  <c r="E15" i="1"/>
  <c r="E17" i="1"/>
  <c r="U62" i="1"/>
  <c r="U64" i="1"/>
  <c r="T21" i="1"/>
  <c r="U21" i="1" s="1"/>
  <c r="U15" i="1"/>
  <c r="U17" i="1"/>
  <c r="AS62" i="1"/>
  <c r="AS15" i="1"/>
  <c r="AR21" i="1"/>
  <c r="AS21" i="1" s="1"/>
  <c r="AS17" i="1"/>
  <c r="BQ62" i="1"/>
  <c r="BQ64" i="1"/>
  <c r="BQ15" i="1"/>
  <c r="CN21" i="1"/>
  <c r="CO21" i="1" s="1"/>
  <c r="CO15" i="1"/>
  <c r="AK19" i="1"/>
  <c r="O119" i="1"/>
  <c r="O110" i="1"/>
  <c r="O105" i="1"/>
  <c r="O96" i="1"/>
  <c r="O66" i="1"/>
  <c r="O79" i="1"/>
  <c r="AA119" i="1"/>
  <c r="AA110" i="1"/>
  <c r="AA105" i="1"/>
  <c r="AA96" i="1"/>
  <c r="AA70" i="1"/>
  <c r="AA79" i="1"/>
  <c r="AA66" i="1"/>
  <c r="AM119" i="1"/>
  <c r="AM110" i="1"/>
  <c r="AM105" i="1"/>
  <c r="AM96" i="1"/>
  <c r="AM79" i="1"/>
  <c r="AM70" i="1"/>
  <c r="AU119" i="1"/>
  <c r="AU110" i="1"/>
  <c r="AU105" i="1"/>
  <c r="AU96" i="1"/>
  <c r="AU66" i="1"/>
  <c r="AU79" i="1"/>
  <c r="BG119" i="1"/>
  <c r="BG110" i="1"/>
  <c r="BG108" i="1"/>
  <c r="BG105" i="1"/>
  <c r="BG96" i="1"/>
  <c r="BG70" i="1"/>
  <c r="BG79" i="1"/>
  <c r="BG66" i="1"/>
  <c r="BS119" i="1"/>
  <c r="BS110" i="1"/>
  <c r="BS108" i="1"/>
  <c r="BS105" i="1"/>
  <c r="BS96" i="1"/>
  <c r="BS79" i="1"/>
  <c r="BS70" i="1"/>
  <c r="CE119" i="1"/>
  <c r="CE110" i="1"/>
  <c r="CE108" i="1"/>
  <c r="CE105" i="1"/>
  <c r="CE96" i="1"/>
  <c r="CE79" i="1"/>
  <c r="CM119" i="1"/>
  <c r="CM110" i="1"/>
  <c r="CM108" i="1"/>
  <c r="CM105" i="1"/>
  <c r="CM96" i="1"/>
  <c r="CM70" i="1"/>
  <c r="CM79" i="1"/>
  <c r="CM66" i="1"/>
  <c r="CY119" i="1"/>
  <c r="CY110" i="1"/>
  <c r="CY108" i="1"/>
  <c r="CY105" i="1"/>
  <c r="CY96" i="1"/>
  <c r="CY79" i="1"/>
  <c r="CY70" i="1"/>
  <c r="DD13" i="1"/>
  <c r="DE13" i="1" s="1"/>
  <c r="F15" i="1"/>
  <c r="J15" i="1"/>
  <c r="N15" i="1"/>
  <c r="R15" i="1"/>
  <c r="V15" i="1"/>
  <c r="Z15" i="1"/>
  <c r="AD15" i="1"/>
  <c r="AH15" i="1"/>
  <c r="AL15" i="1"/>
  <c r="AP15" i="1"/>
  <c r="AT15" i="1"/>
  <c r="AX15" i="1"/>
  <c r="AY19" i="1" s="1"/>
  <c r="BB15" i="1"/>
  <c r="BF15" i="1"/>
  <c r="BJ15" i="1"/>
  <c r="BN15" i="1"/>
  <c r="BO19" i="1" s="1"/>
  <c r="BR15" i="1"/>
  <c r="BV15" i="1"/>
  <c r="BZ15" i="1"/>
  <c r="CA19" i="1" s="1"/>
  <c r="CD15" i="1"/>
  <c r="CH15" i="1"/>
  <c r="CL15" i="1"/>
  <c r="CP15" i="1"/>
  <c r="CQ19" i="1" s="1"/>
  <c r="CT15" i="1"/>
  <c r="CU19" i="1" s="1"/>
  <c r="CX15" i="1"/>
  <c r="DB15" i="1"/>
  <c r="BQ17" i="1"/>
  <c r="CG17" i="1"/>
  <c r="CW17" i="1"/>
  <c r="K19" i="1"/>
  <c r="AQ19" i="1"/>
  <c r="E23" i="1"/>
  <c r="M23" i="1"/>
  <c r="U23" i="1"/>
  <c r="AC23" i="1"/>
  <c r="AK23" i="1"/>
  <c r="AS23" i="1"/>
  <c r="BA23" i="1"/>
  <c r="BI23" i="1"/>
  <c r="BQ23" i="1"/>
  <c r="BY23" i="1"/>
  <c r="CG23" i="1"/>
  <c r="CO23" i="1"/>
  <c r="CW23" i="1"/>
  <c r="DD23" i="1"/>
  <c r="DE23" i="1" s="1"/>
  <c r="J33" i="1"/>
  <c r="K25" i="1"/>
  <c r="S25" i="1"/>
  <c r="Z33" i="1"/>
  <c r="AA25" i="1"/>
  <c r="AI25" i="1"/>
  <c r="AP33" i="1"/>
  <c r="AQ25" i="1"/>
  <c r="AY25" i="1"/>
  <c r="BF33" i="1"/>
  <c r="BG25" i="1"/>
  <c r="BO25" i="1"/>
  <c r="BW25" i="1"/>
  <c r="CE25" i="1"/>
  <c r="CM25" i="1"/>
  <c r="CU25" i="1"/>
  <c r="DC25" i="1"/>
  <c r="I26" i="1"/>
  <c r="Q26" i="1"/>
  <c r="Y26" i="1"/>
  <c r="AG26" i="1"/>
  <c r="AO26" i="1"/>
  <c r="AW26" i="1"/>
  <c r="BE26" i="1"/>
  <c r="BM26" i="1"/>
  <c r="BU26" i="1"/>
  <c r="CC26" i="1"/>
  <c r="CK26" i="1"/>
  <c r="CS26" i="1"/>
  <c r="DA26" i="1"/>
  <c r="M28" i="1"/>
  <c r="AC28" i="1"/>
  <c r="AS28" i="1"/>
  <c r="BI28" i="1"/>
  <c r="BY28" i="1"/>
  <c r="CO28" i="1"/>
  <c r="K29" i="1"/>
  <c r="J31" i="1"/>
  <c r="S29" i="1"/>
  <c r="R31" i="1"/>
  <c r="AA29" i="1"/>
  <c r="Z31" i="1"/>
  <c r="AI29" i="1"/>
  <c r="AH31" i="1"/>
  <c r="AQ29" i="1"/>
  <c r="AP31" i="1"/>
  <c r="AY29" i="1"/>
  <c r="AX31" i="1"/>
  <c r="BG29" i="1"/>
  <c r="BF31" i="1"/>
  <c r="BO29" i="1"/>
  <c r="BN31" i="1"/>
  <c r="BW29" i="1"/>
  <c r="CE29" i="1"/>
  <c r="CM29" i="1"/>
  <c r="CU29" i="1"/>
  <c r="DC29" i="1"/>
  <c r="Q31" i="1"/>
  <c r="AG31" i="1"/>
  <c r="AW31" i="1"/>
  <c r="BM31" i="1"/>
  <c r="CC31" i="1"/>
  <c r="CS31" i="1"/>
  <c r="G119" i="1"/>
  <c r="G114" i="1"/>
  <c r="G110" i="1"/>
  <c r="G105" i="1"/>
  <c r="G96" i="1"/>
  <c r="G79" i="1"/>
  <c r="G70" i="1"/>
  <c r="S119" i="1"/>
  <c r="S110" i="1"/>
  <c r="S105" i="1"/>
  <c r="S96" i="1"/>
  <c r="S79" i="1"/>
  <c r="AE119" i="1"/>
  <c r="AE110" i="1"/>
  <c r="AE105" i="1"/>
  <c r="AE96" i="1"/>
  <c r="AE66" i="1"/>
  <c r="AE79" i="1"/>
  <c r="AQ119" i="1"/>
  <c r="AQ110" i="1"/>
  <c r="AQ105" i="1"/>
  <c r="AQ96" i="1"/>
  <c r="AQ70" i="1"/>
  <c r="AQ79" i="1"/>
  <c r="AQ66" i="1"/>
  <c r="BC119" i="1"/>
  <c r="BC110" i="1"/>
  <c r="BC105" i="1"/>
  <c r="BC96" i="1"/>
  <c r="BC79" i="1"/>
  <c r="BC70" i="1"/>
  <c r="BO119" i="1"/>
  <c r="BO110" i="1"/>
  <c r="BO108" i="1"/>
  <c r="BO105" i="1"/>
  <c r="BO96" i="1"/>
  <c r="BO79" i="1"/>
  <c r="CA119" i="1"/>
  <c r="CA110" i="1"/>
  <c r="CA108" i="1"/>
  <c r="CA105" i="1"/>
  <c r="CA96" i="1"/>
  <c r="CA66" i="1"/>
  <c r="CA79" i="1"/>
  <c r="CU119" i="1"/>
  <c r="CU110" i="1"/>
  <c r="CU108" i="1"/>
  <c r="CU105" i="1"/>
  <c r="CU96" i="1"/>
  <c r="CU79" i="1"/>
  <c r="G11" i="1"/>
  <c r="O11" i="1"/>
  <c r="S11" i="1"/>
  <c r="AA11" i="1"/>
  <c r="AE11" i="1"/>
  <c r="AM11" i="1"/>
  <c r="AQ11" i="1"/>
  <c r="AU11" i="1"/>
  <c r="BC11" i="1"/>
  <c r="BG11" i="1"/>
  <c r="BO11" i="1"/>
  <c r="BS11" i="1"/>
  <c r="CA11" i="1"/>
  <c r="CE11" i="1"/>
  <c r="CM11" i="1"/>
  <c r="CU11" i="1"/>
  <c r="CY11" i="1"/>
  <c r="E13" i="1"/>
  <c r="I13" i="1"/>
  <c r="M13" i="1"/>
  <c r="Q13" i="1"/>
  <c r="U13" i="1"/>
  <c r="Y13" i="1"/>
  <c r="AC13" i="1"/>
  <c r="AG13" i="1"/>
  <c r="AK13" i="1"/>
  <c r="AO13" i="1"/>
  <c r="AS13" i="1"/>
  <c r="AW13" i="1"/>
  <c r="BA13" i="1"/>
  <c r="BE13" i="1"/>
  <c r="BI13" i="1"/>
  <c r="BM13" i="1"/>
  <c r="BQ13" i="1"/>
  <c r="BU13" i="1"/>
  <c r="BY13" i="1"/>
  <c r="CC13" i="1"/>
  <c r="CG13" i="1"/>
  <c r="CK13" i="1"/>
  <c r="CO13" i="1"/>
  <c r="CS13" i="1"/>
  <c r="CW13" i="1"/>
  <c r="DA13" i="1"/>
  <c r="CC17" i="1"/>
  <c r="CS17" i="1"/>
  <c r="G19" i="1"/>
  <c r="W19" i="1"/>
  <c r="AM19" i="1"/>
  <c r="BC19" i="1"/>
  <c r="BR19" i="1"/>
  <c r="BS19" i="1" s="1"/>
  <c r="CH19" i="1"/>
  <c r="CI19" i="1" s="1"/>
  <c r="CX19" i="1"/>
  <c r="CY19" i="1" s="1"/>
  <c r="G23" i="1"/>
  <c r="O23" i="1"/>
  <c r="W23" i="1"/>
  <c r="AE23" i="1"/>
  <c r="AM23" i="1"/>
  <c r="AU23" i="1"/>
  <c r="BC23" i="1"/>
  <c r="BK23" i="1"/>
  <c r="BS23" i="1"/>
  <c r="CA23" i="1"/>
  <c r="CI23" i="1"/>
  <c r="CQ23" i="1"/>
  <c r="CY23" i="1"/>
  <c r="D25" i="1"/>
  <c r="L25" i="1"/>
  <c r="T25" i="1"/>
  <c r="AB25" i="1"/>
  <c r="AJ25" i="1"/>
  <c r="AR25" i="1"/>
  <c r="AZ25" i="1"/>
  <c r="BH25" i="1"/>
  <c r="BP25" i="1"/>
  <c r="BX25" i="1"/>
  <c r="CF25" i="1"/>
  <c r="CN25" i="1"/>
  <c r="CV25" i="1"/>
  <c r="K26" i="1"/>
  <c r="J28" i="1"/>
  <c r="K28" i="1" s="1"/>
  <c r="S26" i="1"/>
  <c r="R28" i="1"/>
  <c r="S28" i="1" s="1"/>
  <c r="AA26" i="1"/>
  <c r="Z28" i="1"/>
  <c r="AA28" i="1" s="1"/>
  <c r="AI26" i="1"/>
  <c r="AH28" i="1"/>
  <c r="AI28" i="1" s="1"/>
  <c r="AQ26" i="1"/>
  <c r="AP28" i="1"/>
  <c r="AQ28" i="1" s="1"/>
  <c r="AY26" i="1"/>
  <c r="AX28" i="1"/>
  <c r="AY28" i="1" s="1"/>
  <c r="BG26" i="1"/>
  <c r="BF28" i="1"/>
  <c r="BG28" i="1" s="1"/>
  <c r="BO26" i="1"/>
  <c r="BN28" i="1"/>
  <c r="BO28" i="1" s="1"/>
  <c r="BW26" i="1"/>
  <c r="BV28" i="1"/>
  <c r="BW28" i="1" s="1"/>
  <c r="CE26" i="1"/>
  <c r="CD28" i="1"/>
  <c r="CE28" i="1" s="1"/>
  <c r="CM26" i="1"/>
  <c r="CL28" i="1"/>
  <c r="CM28" i="1" s="1"/>
  <c r="CU26" i="1"/>
  <c r="CT28" i="1"/>
  <c r="CU28" i="1" s="1"/>
  <c r="DC26" i="1"/>
  <c r="DB28" i="1"/>
  <c r="DC28" i="1" s="1"/>
  <c r="P28" i="1"/>
  <c r="Q28" i="1" s="1"/>
  <c r="AF28" i="1"/>
  <c r="AG28" i="1" s="1"/>
  <c r="AV28" i="1"/>
  <c r="AW28" i="1" s="1"/>
  <c r="BL28" i="1"/>
  <c r="BM28" i="1" s="1"/>
  <c r="CB28" i="1"/>
  <c r="CC28" i="1" s="1"/>
  <c r="CR28" i="1"/>
  <c r="CS28" i="1" s="1"/>
  <c r="E29" i="1"/>
  <c r="M29" i="1"/>
  <c r="U29" i="1"/>
  <c r="AC29" i="1"/>
  <c r="AK29" i="1"/>
  <c r="AS29" i="1"/>
  <c r="BA29" i="1"/>
  <c r="BI29" i="1"/>
  <c r="BQ29" i="1"/>
  <c r="BY29" i="1"/>
  <c r="CG29" i="1"/>
  <c r="CO29" i="1"/>
  <c r="CW29" i="1"/>
  <c r="E31" i="1"/>
  <c r="U31" i="1"/>
  <c r="AK31" i="1"/>
  <c r="BA31" i="1"/>
  <c r="BQ31" i="1"/>
  <c r="CG31" i="1"/>
  <c r="CW31" i="1"/>
  <c r="K119" i="1"/>
  <c r="K110" i="1"/>
  <c r="K105" i="1"/>
  <c r="K96" i="1"/>
  <c r="K70" i="1"/>
  <c r="K79" i="1"/>
  <c r="K66" i="1"/>
  <c r="W119" i="1"/>
  <c r="W110" i="1"/>
  <c r="W105" i="1"/>
  <c r="W96" i="1"/>
  <c r="W79" i="1"/>
  <c r="W70" i="1"/>
  <c r="AI119" i="1"/>
  <c r="AI110" i="1"/>
  <c r="AI105" i="1"/>
  <c r="AI96" i="1"/>
  <c r="AI79" i="1"/>
  <c r="AY119" i="1"/>
  <c r="AY110" i="1"/>
  <c r="AY105" i="1"/>
  <c r="AY96" i="1"/>
  <c r="AY79" i="1"/>
  <c r="BK119" i="1"/>
  <c r="BK110" i="1"/>
  <c r="BK108" i="1"/>
  <c r="BK105" i="1"/>
  <c r="BK96" i="1"/>
  <c r="BK66" i="1"/>
  <c r="BK79" i="1"/>
  <c r="BW119" i="1"/>
  <c r="BW110" i="1"/>
  <c r="BW108" i="1"/>
  <c r="BW105" i="1"/>
  <c r="BW96" i="1"/>
  <c r="BW70" i="1"/>
  <c r="BW79" i="1"/>
  <c r="BW66" i="1"/>
  <c r="CI119" i="1"/>
  <c r="CI110" i="1"/>
  <c r="CI108" i="1"/>
  <c r="CI105" i="1"/>
  <c r="CI96" i="1"/>
  <c r="CI79" i="1"/>
  <c r="CI70" i="1"/>
  <c r="CQ119" i="1"/>
  <c r="CQ110" i="1"/>
  <c r="CQ108" i="1"/>
  <c r="CQ105" i="1"/>
  <c r="CQ96" i="1"/>
  <c r="CQ66" i="1"/>
  <c r="CQ79" i="1"/>
  <c r="DC119" i="1"/>
  <c r="DC110" i="1"/>
  <c r="DC108" i="1"/>
  <c r="DC105" i="1"/>
  <c r="DC96" i="1"/>
  <c r="DC70" i="1"/>
  <c r="DC79" i="1"/>
  <c r="DC66" i="1"/>
  <c r="E119" i="1"/>
  <c r="E110" i="1"/>
  <c r="E109" i="1"/>
  <c r="E79" i="1"/>
  <c r="I119" i="1"/>
  <c r="I110" i="1"/>
  <c r="I109" i="1"/>
  <c r="I102" i="1"/>
  <c r="I103" i="1"/>
  <c r="I79" i="1"/>
  <c r="M119" i="1"/>
  <c r="M110" i="1"/>
  <c r="M109" i="1"/>
  <c r="M79" i="1"/>
  <c r="Q119" i="1"/>
  <c r="Q110" i="1"/>
  <c r="Q109" i="1"/>
  <c r="Q102" i="1"/>
  <c r="Q71" i="1"/>
  <c r="Q79" i="1"/>
  <c r="U119" i="1"/>
  <c r="U110" i="1"/>
  <c r="U109" i="1"/>
  <c r="U79" i="1"/>
  <c r="Y119" i="1"/>
  <c r="Y110" i="1"/>
  <c r="Y109" i="1"/>
  <c r="Y102" i="1"/>
  <c r="Y103" i="1"/>
  <c r="Y79" i="1"/>
  <c r="AC119" i="1"/>
  <c r="AC110" i="1"/>
  <c r="AC109" i="1"/>
  <c r="AC79" i="1"/>
  <c r="AG119" i="1"/>
  <c r="AG110" i="1"/>
  <c r="AG109" i="1"/>
  <c r="AG102" i="1"/>
  <c r="AG71" i="1"/>
  <c r="AG79" i="1"/>
  <c r="AK119" i="1"/>
  <c r="AK110" i="1"/>
  <c r="AK109" i="1"/>
  <c r="AK79" i="1"/>
  <c r="AO119" i="1"/>
  <c r="AO110" i="1"/>
  <c r="AO109" i="1"/>
  <c r="AO103" i="1"/>
  <c r="AO102" i="1"/>
  <c r="AO79" i="1"/>
  <c r="AS119" i="1"/>
  <c r="AS110" i="1"/>
  <c r="AS109" i="1"/>
  <c r="AS79" i="1"/>
  <c r="AW119" i="1"/>
  <c r="AW110" i="1"/>
  <c r="AW109" i="1"/>
  <c r="AW95" i="1"/>
  <c r="AW102" i="1"/>
  <c r="AW71" i="1"/>
  <c r="AW79" i="1"/>
  <c r="BA119" i="1"/>
  <c r="BA110" i="1"/>
  <c r="BA109" i="1"/>
  <c r="BA95" i="1"/>
  <c r="BA79" i="1"/>
  <c r="BE119" i="1"/>
  <c r="BE110" i="1"/>
  <c r="BE109" i="1"/>
  <c r="BE95" i="1"/>
  <c r="BE103" i="1"/>
  <c r="BE102" i="1"/>
  <c r="BE79" i="1"/>
  <c r="BI119" i="1"/>
  <c r="BI110" i="1"/>
  <c r="BI109" i="1"/>
  <c r="BI95" i="1"/>
  <c r="BI79" i="1"/>
  <c r="BM119" i="1"/>
  <c r="BM110" i="1"/>
  <c r="BM109" i="1"/>
  <c r="BM95" i="1"/>
  <c r="BM102" i="1"/>
  <c r="BM71" i="1"/>
  <c r="BM79" i="1"/>
  <c r="BQ119" i="1"/>
  <c r="BQ110" i="1"/>
  <c r="BQ109" i="1"/>
  <c r="BQ95" i="1"/>
  <c r="BQ79" i="1"/>
  <c r="BU119" i="1"/>
  <c r="BU110" i="1"/>
  <c r="BU109" i="1"/>
  <c r="BU102" i="1"/>
  <c r="BU95" i="1"/>
  <c r="BU103" i="1"/>
  <c r="BU79" i="1"/>
  <c r="BY119" i="1"/>
  <c r="BY110" i="1"/>
  <c r="BY109" i="1"/>
  <c r="BY95" i="1"/>
  <c r="BY79" i="1"/>
  <c r="CC119" i="1"/>
  <c r="CC110" i="1"/>
  <c r="CC109" i="1"/>
  <c r="CC95" i="1"/>
  <c r="CC102" i="1"/>
  <c r="CC71" i="1"/>
  <c r="CC79" i="1"/>
  <c r="CG119" i="1"/>
  <c r="CG110" i="1"/>
  <c r="CG109" i="1"/>
  <c r="CG95" i="1"/>
  <c r="CG79" i="1"/>
  <c r="CK119" i="1"/>
  <c r="CK110" i="1"/>
  <c r="CK109" i="1"/>
  <c r="CK95" i="1"/>
  <c r="CK102" i="1"/>
  <c r="CK103" i="1"/>
  <c r="CK79" i="1"/>
  <c r="CO119" i="1"/>
  <c r="CO110" i="1"/>
  <c r="CO109" i="1"/>
  <c r="CO95" i="1"/>
  <c r="CO79" i="1"/>
  <c r="CS119" i="1"/>
  <c r="CS110" i="1"/>
  <c r="CS109" i="1"/>
  <c r="CS102" i="1"/>
  <c r="CS95" i="1"/>
  <c r="CS71" i="1"/>
  <c r="CS79" i="1"/>
  <c r="CW119" i="1"/>
  <c r="CW110" i="1"/>
  <c r="CW109" i="1"/>
  <c r="CW95" i="1"/>
  <c r="CW79" i="1"/>
  <c r="DA119" i="1"/>
  <c r="DA110" i="1"/>
  <c r="DA109" i="1"/>
  <c r="DA103" i="1"/>
  <c r="DA95" i="1"/>
  <c r="DA102" i="1"/>
  <c r="DA79" i="1"/>
  <c r="BY17" i="1"/>
  <c r="CO17" i="1"/>
  <c r="DD17" i="1"/>
  <c r="I23" i="1"/>
  <c r="Q23" i="1"/>
  <c r="Y23" i="1"/>
  <c r="AG23" i="1"/>
  <c r="AO23" i="1"/>
  <c r="AW23" i="1"/>
  <c r="BE23" i="1"/>
  <c r="BM23" i="1"/>
  <c r="BU23" i="1"/>
  <c r="CC23" i="1"/>
  <c r="CK23" i="1"/>
  <c r="CS23" i="1"/>
  <c r="DA23" i="1"/>
  <c r="F25" i="1"/>
  <c r="N25" i="1"/>
  <c r="V25" i="1"/>
  <c r="AD25" i="1"/>
  <c r="AL25" i="1"/>
  <c r="AT25" i="1"/>
  <c r="BB25" i="1"/>
  <c r="BJ25" i="1"/>
  <c r="BR25" i="1"/>
  <c r="BZ25" i="1"/>
  <c r="CH25" i="1"/>
  <c r="CP25" i="1"/>
  <c r="CX25" i="1"/>
  <c r="E26" i="1"/>
  <c r="DD26" i="1"/>
  <c r="DE26" i="1" s="1"/>
  <c r="M26" i="1"/>
  <c r="U26" i="1"/>
  <c r="AC26" i="1"/>
  <c r="AK26" i="1"/>
  <c r="AS26" i="1"/>
  <c r="BA26" i="1"/>
  <c r="BI26" i="1"/>
  <c r="BQ26" i="1"/>
  <c r="BY26" i="1"/>
  <c r="CG26" i="1"/>
  <c r="CO26" i="1"/>
  <c r="CW26" i="1"/>
  <c r="D28" i="1"/>
  <c r="T28" i="1"/>
  <c r="U28" i="1" s="1"/>
  <c r="AJ28" i="1"/>
  <c r="AK28" i="1" s="1"/>
  <c r="AZ28" i="1"/>
  <c r="BA28" i="1" s="1"/>
  <c r="BP28" i="1"/>
  <c r="BQ28" i="1" s="1"/>
  <c r="CF28" i="1"/>
  <c r="CG28" i="1" s="1"/>
  <c r="CV28" i="1"/>
  <c r="CW28" i="1" s="1"/>
  <c r="G29" i="1"/>
  <c r="F31" i="1"/>
  <c r="O29" i="1"/>
  <c r="N31" i="1"/>
  <c r="W29" i="1"/>
  <c r="V31" i="1"/>
  <c r="AE29" i="1"/>
  <c r="AD31" i="1"/>
  <c r="AM29" i="1"/>
  <c r="AL31" i="1"/>
  <c r="AU29" i="1"/>
  <c r="AT31" i="1"/>
  <c r="BC29" i="1"/>
  <c r="BB31" i="1"/>
  <c r="BK29" i="1"/>
  <c r="BJ31" i="1"/>
  <c r="BS29" i="1"/>
  <c r="BR31" i="1"/>
  <c r="CA29" i="1"/>
  <c r="CI29" i="1"/>
  <c r="CQ29" i="1"/>
  <c r="CY29" i="1"/>
  <c r="I31" i="1"/>
  <c r="Y31" i="1"/>
  <c r="AO31" i="1"/>
  <c r="BE31" i="1"/>
  <c r="BU31" i="1"/>
  <c r="CK31" i="1"/>
  <c r="DA31" i="1"/>
  <c r="DE79" i="1"/>
  <c r="DE75" i="1"/>
  <c r="E11" i="1"/>
  <c r="I11" i="1"/>
  <c r="M11" i="1"/>
  <c r="Q11" i="1"/>
  <c r="U11" i="1"/>
  <c r="Y11" i="1"/>
  <c r="AC11" i="1"/>
  <c r="AG11" i="1"/>
  <c r="AK11" i="1"/>
  <c r="AO11" i="1"/>
  <c r="AS11" i="1"/>
  <c r="AW11" i="1"/>
  <c r="BA11" i="1"/>
  <c r="BE11" i="1"/>
  <c r="BI11" i="1"/>
  <c r="BM11" i="1"/>
  <c r="BQ11" i="1"/>
  <c r="BU11" i="1"/>
  <c r="BY11" i="1"/>
  <c r="CC11" i="1"/>
  <c r="CG11" i="1"/>
  <c r="CK11" i="1"/>
  <c r="CO11" i="1"/>
  <c r="CS11" i="1"/>
  <c r="CW11" i="1"/>
  <c r="DA11" i="1"/>
  <c r="DE11" i="1"/>
  <c r="BU17" i="1"/>
  <c r="CK17" i="1"/>
  <c r="DA17" i="1"/>
  <c r="O19" i="1"/>
  <c r="AE19" i="1"/>
  <c r="AU19" i="1"/>
  <c r="BK19" i="1"/>
  <c r="BP19" i="1"/>
  <c r="BQ19" i="1" s="1"/>
  <c r="CF19" i="1"/>
  <c r="CG19" i="1" s="1"/>
  <c r="CV19" i="1"/>
  <c r="CW19" i="1" s="1"/>
  <c r="K23" i="1"/>
  <c r="S23" i="1"/>
  <c r="AA23" i="1"/>
  <c r="AI23" i="1"/>
  <c r="AQ23" i="1"/>
  <c r="AY23" i="1"/>
  <c r="BG23" i="1"/>
  <c r="BO23" i="1"/>
  <c r="BW23" i="1"/>
  <c r="CE23" i="1"/>
  <c r="CM23" i="1"/>
  <c r="CU23" i="1"/>
  <c r="DC23" i="1"/>
  <c r="I25" i="1"/>
  <c r="H33" i="1"/>
  <c r="Q25" i="1"/>
  <c r="P33" i="1"/>
  <c r="Y25" i="1"/>
  <c r="AG25" i="1"/>
  <c r="AF33" i="1"/>
  <c r="AO25" i="1"/>
  <c r="AN33" i="1"/>
  <c r="AW25" i="1"/>
  <c r="AV33" i="1"/>
  <c r="BE25" i="1"/>
  <c r="BM25" i="1"/>
  <c r="BL33" i="1"/>
  <c r="BU25" i="1"/>
  <c r="BT33" i="1"/>
  <c r="CB33" i="1"/>
  <c r="CC25" i="1"/>
  <c r="CK25" i="1"/>
  <c r="CR33" i="1"/>
  <c r="CS25" i="1"/>
  <c r="CZ33" i="1"/>
  <c r="DA25" i="1"/>
  <c r="G26" i="1"/>
  <c r="F28" i="1"/>
  <c r="G28" i="1" s="1"/>
  <c r="O26" i="1"/>
  <c r="N28" i="1"/>
  <c r="O28" i="1" s="1"/>
  <c r="W26" i="1"/>
  <c r="V28" i="1"/>
  <c r="W28" i="1" s="1"/>
  <c r="AE26" i="1"/>
  <c r="AD28" i="1"/>
  <c r="AE28" i="1" s="1"/>
  <c r="AM26" i="1"/>
  <c r="AL28" i="1"/>
  <c r="AM28" i="1" s="1"/>
  <c r="AU26" i="1"/>
  <c r="AT28" i="1"/>
  <c r="AU28" i="1" s="1"/>
  <c r="BC26" i="1"/>
  <c r="BB28" i="1"/>
  <c r="BC28" i="1" s="1"/>
  <c r="BK26" i="1"/>
  <c r="BJ28" i="1"/>
  <c r="BK28" i="1" s="1"/>
  <c r="BS26" i="1"/>
  <c r="BR28" i="1"/>
  <c r="BS28" i="1" s="1"/>
  <c r="CA26" i="1"/>
  <c r="BZ28" i="1"/>
  <c r="CA28" i="1" s="1"/>
  <c r="CI26" i="1"/>
  <c r="CH28" i="1"/>
  <c r="CI28" i="1" s="1"/>
  <c r="CQ26" i="1"/>
  <c r="CP28" i="1"/>
  <c r="CQ28" i="1" s="1"/>
  <c r="CY26" i="1"/>
  <c r="CX28" i="1"/>
  <c r="CY28" i="1" s="1"/>
  <c r="H28" i="1"/>
  <c r="I28" i="1" s="1"/>
  <c r="X28" i="1"/>
  <c r="Y28" i="1" s="1"/>
  <c r="AN28" i="1"/>
  <c r="AO28" i="1" s="1"/>
  <c r="BD28" i="1"/>
  <c r="BE28" i="1" s="1"/>
  <c r="BT28" i="1"/>
  <c r="BU28" i="1" s="1"/>
  <c r="CJ28" i="1"/>
  <c r="CK28" i="1" s="1"/>
  <c r="CZ28" i="1"/>
  <c r="DA28" i="1" s="1"/>
  <c r="I29" i="1"/>
  <c r="Q29" i="1"/>
  <c r="Y29" i="1"/>
  <c r="AG29" i="1"/>
  <c r="AO29" i="1"/>
  <c r="AW29" i="1"/>
  <c r="BE29" i="1"/>
  <c r="BM29" i="1"/>
  <c r="BU29" i="1"/>
  <c r="CC29" i="1"/>
  <c r="CK29" i="1"/>
  <c r="CS29" i="1"/>
  <c r="DA29" i="1"/>
  <c r="M31" i="1"/>
  <c r="AC31" i="1"/>
  <c r="AS31" i="1"/>
  <c r="BI31" i="1"/>
  <c r="BY31" i="1"/>
  <c r="CO31" i="1"/>
  <c r="DD29" i="1"/>
  <c r="DE29" i="1" s="1"/>
  <c r="BV31" i="1"/>
  <c r="BZ31" i="1"/>
  <c r="CD31" i="1"/>
  <c r="CH31" i="1"/>
  <c r="CL31" i="1"/>
  <c r="CP31" i="1"/>
  <c r="CT31" i="1"/>
  <c r="CX31" i="1"/>
  <c r="DB31" i="1"/>
  <c r="I35" i="1"/>
  <c r="Q35" i="1"/>
  <c r="Y35" i="1"/>
  <c r="AG35" i="1"/>
  <c r="AO35" i="1"/>
  <c r="AW35" i="1"/>
  <c r="BE35" i="1"/>
  <c r="BM35" i="1"/>
  <c r="BU35" i="1"/>
  <c r="CC35" i="1"/>
  <c r="CK35" i="1"/>
  <c r="CS35" i="1"/>
  <c r="DA35" i="1"/>
  <c r="G36" i="1"/>
  <c r="O36" i="1"/>
  <c r="W36" i="1"/>
  <c r="AE36" i="1"/>
  <c r="AM36" i="1"/>
  <c r="AU36" i="1"/>
  <c r="BC36" i="1"/>
  <c r="BK36" i="1"/>
  <c r="BS36" i="1"/>
  <c r="CA36" i="1"/>
  <c r="CI36" i="1"/>
  <c r="CQ36" i="1"/>
  <c r="CY36" i="1"/>
  <c r="E37" i="1"/>
  <c r="M37" i="1"/>
  <c r="U37" i="1"/>
  <c r="AC37" i="1"/>
  <c r="AK37" i="1"/>
  <c r="AS37" i="1"/>
  <c r="BI37" i="1"/>
  <c r="BQ37" i="1"/>
  <c r="BY37" i="1"/>
  <c r="CG37" i="1"/>
  <c r="CO37" i="1"/>
  <c r="CW37" i="1"/>
  <c r="DD37" i="1"/>
  <c r="K38" i="1"/>
  <c r="S38" i="1"/>
  <c r="AA38" i="1"/>
  <c r="AI38" i="1"/>
  <c r="AQ38" i="1"/>
  <c r="AY38" i="1"/>
  <c r="BG38" i="1"/>
  <c r="BO38" i="1"/>
  <c r="CE38" i="1"/>
  <c r="CU38" i="1"/>
  <c r="H40" i="1"/>
  <c r="P40" i="1"/>
  <c r="X40" i="1"/>
  <c r="AF40" i="1"/>
  <c r="AN40" i="1"/>
  <c r="AV40" i="1"/>
  <c r="BD40" i="1"/>
  <c r="BL40" i="1"/>
  <c r="BT40" i="1"/>
  <c r="CB40" i="1"/>
  <c r="CJ40" i="1"/>
  <c r="CR40" i="1"/>
  <c r="CZ40" i="1"/>
  <c r="F53" i="1"/>
  <c r="N53" i="1"/>
  <c r="V53" i="1"/>
  <c r="AD53" i="1"/>
  <c r="AL53" i="1"/>
  <c r="AT53" i="1"/>
  <c r="BB53" i="1"/>
  <c r="BJ53" i="1"/>
  <c r="BR53" i="1"/>
  <c r="BZ53" i="1"/>
  <c r="CH53" i="1"/>
  <c r="CP53" i="1"/>
  <c r="CX53" i="1"/>
  <c r="K35" i="1"/>
  <c r="S35" i="1"/>
  <c r="AA35" i="1"/>
  <c r="AI35" i="1"/>
  <c r="AQ35" i="1"/>
  <c r="AY35" i="1"/>
  <c r="BG35" i="1"/>
  <c r="BO35" i="1"/>
  <c r="BW35" i="1"/>
  <c r="CE35" i="1"/>
  <c r="CM35" i="1"/>
  <c r="CU35" i="1"/>
  <c r="DC35" i="1"/>
  <c r="I36" i="1"/>
  <c r="Q36" i="1"/>
  <c r="Y36" i="1"/>
  <c r="AG36" i="1"/>
  <c r="AO36" i="1"/>
  <c r="AW36" i="1"/>
  <c r="BE36" i="1"/>
  <c r="BM36" i="1"/>
  <c r="BU36" i="1"/>
  <c r="CC36" i="1"/>
  <c r="CK36" i="1"/>
  <c r="CS36" i="1"/>
  <c r="DA36" i="1"/>
  <c r="G37" i="1"/>
  <c r="O37" i="1"/>
  <c r="W37" i="1"/>
  <c r="AE37" i="1"/>
  <c r="AM37" i="1"/>
  <c r="AU37" i="1"/>
  <c r="BC37" i="1"/>
  <c r="BK37" i="1"/>
  <c r="BS37" i="1"/>
  <c r="CA37" i="1"/>
  <c r="CI37" i="1"/>
  <c r="CQ37" i="1"/>
  <c r="CY37" i="1"/>
  <c r="E38" i="1"/>
  <c r="M38" i="1"/>
  <c r="U38" i="1"/>
  <c r="AC38" i="1"/>
  <c r="AK38" i="1"/>
  <c r="AS38" i="1"/>
  <c r="BA38" i="1"/>
  <c r="BI38" i="1"/>
  <c r="BQ38" i="1"/>
  <c r="BY38" i="1"/>
  <c r="CG38" i="1"/>
  <c r="CO38" i="1"/>
  <c r="CW38" i="1"/>
  <c r="DD38" i="1"/>
  <c r="DE38" i="1" s="1"/>
  <c r="J40" i="1"/>
  <c r="R40" i="1"/>
  <c r="Z40" i="1"/>
  <c r="AH40" i="1"/>
  <c r="AP40" i="1"/>
  <c r="AX40" i="1"/>
  <c r="BF40" i="1"/>
  <c r="BN40" i="1"/>
  <c r="BV40" i="1"/>
  <c r="CD40" i="1"/>
  <c r="CL40" i="1"/>
  <c r="CT40" i="1"/>
  <c r="DB40" i="1"/>
  <c r="I44" i="1"/>
  <c r="H46" i="1"/>
  <c r="Q44" i="1"/>
  <c r="P46" i="1"/>
  <c r="Y44" i="1"/>
  <c r="X46" i="1"/>
  <c r="AG44" i="1"/>
  <c r="AF46" i="1"/>
  <c r="AO44" i="1"/>
  <c r="AN46" i="1"/>
  <c r="AW44" i="1"/>
  <c r="AV46" i="1"/>
  <c r="BE44" i="1"/>
  <c r="BD46" i="1"/>
  <c r="BM44" i="1"/>
  <c r="BL46" i="1"/>
  <c r="BU44" i="1"/>
  <c r="BT46" i="1"/>
  <c r="CC44" i="1"/>
  <c r="CB46" i="1"/>
  <c r="CK44" i="1"/>
  <c r="CJ46" i="1"/>
  <c r="CS44" i="1"/>
  <c r="CR46" i="1"/>
  <c r="DA44" i="1"/>
  <c r="CZ46" i="1"/>
  <c r="I48" i="1"/>
  <c r="Q48" i="1"/>
  <c r="Y48" i="1"/>
  <c r="AG48" i="1"/>
  <c r="AO48" i="1"/>
  <c r="AW48" i="1"/>
  <c r="BE48" i="1"/>
  <c r="BM48" i="1"/>
  <c r="BU48" i="1"/>
  <c r="CC48" i="1"/>
  <c r="CK48" i="1"/>
  <c r="CS48" i="1"/>
  <c r="DA48" i="1"/>
  <c r="DD31" i="1"/>
  <c r="DE31" i="1" s="1"/>
  <c r="E35" i="1"/>
  <c r="M35" i="1"/>
  <c r="U35" i="1"/>
  <c r="AC35" i="1"/>
  <c r="AK35" i="1"/>
  <c r="AS35" i="1"/>
  <c r="BA35" i="1"/>
  <c r="BI35" i="1"/>
  <c r="BQ35" i="1"/>
  <c r="BY35" i="1"/>
  <c r="CG35" i="1"/>
  <c r="CO35" i="1"/>
  <c r="CW35" i="1"/>
  <c r="DD35" i="1"/>
  <c r="K36" i="1"/>
  <c r="S36" i="1"/>
  <c r="AA36" i="1"/>
  <c r="AI36" i="1"/>
  <c r="AQ36" i="1"/>
  <c r="AY36" i="1"/>
  <c r="BG36" i="1"/>
  <c r="BO36" i="1"/>
  <c r="BW36" i="1"/>
  <c r="CE36" i="1"/>
  <c r="CM36" i="1"/>
  <c r="CU36" i="1"/>
  <c r="DC36" i="1"/>
  <c r="I37" i="1"/>
  <c r="Q37" i="1"/>
  <c r="Y37" i="1"/>
  <c r="AG37" i="1"/>
  <c r="AO37" i="1"/>
  <c r="AW37" i="1"/>
  <c r="BE37" i="1"/>
  <c r="BM37" i="1"/>
  <c r="BU37" i="1"/>
  <c r="CC37" i="1"/>
  <c r="CK37" i="1"/>
  <c r="CS37" i="1"/>
  <c r="DA37" i="1"/>
  <c r="G38" i="1"/>
  <c r="O38" i="1"/>
  <c r="W38" i="1"/>
  <c r="AE38" i="1"/>
  <c r="AM38" i="1"/>
  <c r="AU38" i="1"/>
  <c r="BC38" i="1"/>
  <c r="BK38" i="1"/>
  <c r="BS38" i="1"/>
  <c r="CA38" i="1"/>
  <c r="CI38" i="1"/>
  <c r="CQ38" i="1"/>
  <c r="CY38" i="1"/>
  <c r="D40" i="1"/>
  <c r="L40" i="1"/>
  <c r="T40" i="1"/>
  <c r="AB40" i="1"/>
  <c r="AJ40" i="1"/>
  <c r="AR40" i="1"/>
  <c r="AZ40" i="1"/>
  <c r="BH40" i="1"/>
  <c r="BP40" i="1"/>
  <c r="BX40" i="1"/>
  <c r="CF40" i="1"/>
  <c r="CN40" i="1"/>
  <c r="CV40" i="1"/>
  <c r="K46" i="1"/>
  <c r="J53" i="1"/>
  <c r="K53" i="1" s="1"/>
  <c r="R53" i="1"/>
  <c r="AA46" i="1"/>
  <c r="Z53" i="1"/>
  <c r="AA53" i="1" s="1"/>
  <c r="AH53" i="1"/>
  <c r="AQ46" i="1"/>
  <c r="AP53" i="1"/>
  <c r="AQ53" i="1" s="1"/>
  <c r="AX53" i="1"/>
  <c r="BG46" i="1"/>
  <c r="BF53" i="1"/>
  <c r="BG53" i="1" s="1"/>
  <c r="BN53" i="1"/>
  <c r="BV53" i="1"/>
  <c r="CD53" i="1"/>
  <c r="CL53" i="1"/>
  <c r="CT53" i="1"/>
  <c r="DB53" i="1"/>
  <c r="K50" i="1"/>
  <c r="AA50" i="1"/>
  <c r="AQ50" i="1"/>
  <c r="BG50" i="1"/>
  <c r="G35" i="1"/>
  <c r="O35" i="1"/>
  <c r="W35" i="1"/>
  <c r="AE35" i="1"/>
  <c r="AM35" i="1"/>
  <c r="AU35" i="1"/>
  <c r="BC35" i="1"/>
  <c r="BK35" i="1"/>
  <c r="BS35" i="1"/>
  <c r="CA35" i="1"/>
  <c r="CI35" i="1"/>
  <c r="CQ35" i="1"/>
  <c r="CY35" i="1"/>
  <c r="E36" i="1"/>
  <c r="M36" i="1"/>
  <c r="U36" i="1"/>
  <c r="AC36" i="1"/>
  <c r="AK36" i="1"/>
  <c r="AS36" i="1"/>
  <c r="BA36" i="1"/>
  <c r="BI36" i="1"/>
  <c r="BQ36" i="1"/>
  <c r="BY36" i="1"/>
  <c r="CG36" i="1"/>
  <c r="CO36" i="1"/>
  <c r="CW36" i="1"/>
  <c r="DD36" i="1"/>
  <c r="K37" i="1"/>
  <c r="S37" i="1"/>
  <c r="AA37" i="1"/>
  <c r="AI37" i="1"/>
  <c r="AQ37" i="1"/>
  <c r="AY37" i="1"/>
  <c r="BG37" i="1"/>
  <c r="BO37" i="1"/>
  <c r="BW37" i="1"/>
  <c r="CE37" i="1"/>
  <c r="CM37" i="1"/>
  <c r="CU37" i="1"/>
  <c r="DC37" i="1"/>
  <c r="I38" i="1"/>
  <c r="Q38" i="1"/>
  <c r="Y38" i="1"/>
  <c r="AG38" i="1"/>
  <c r="AO38" i="1"/>
  <c r="AW38" i="1"/>
  <c r="BE38" i="1"/>
  <c r="BM38" i="1"/>
  <c r="BU38" i="1"/>
  <c r="CC38" i="1"/>
  <c r="CK38" i="1"/>
  <c r="CS38" i="1"/>
  <c r="DA38" i="1"/>
  <c r="F40" i="1"/>
  <c r="N40" i="1"/>
  <c r="V40" i="1"/>
  <c r="AD40" i="1"/>
  <c r="AL40" i="1"/>
  <c r="AT40" i="1"/>
  <c r="BB40" i="1"/>
  <c r="BJ40" i="1"/>
  <c r="BR40" i="1"/>
  <c r="BZ40" i="1"/>
  <c r="CH40" i="1"/>
  <c r="CP40" i="1"/>
  <c r="CX40" i="1"/>
  <c r="E44" i="1"/>
  <c r="DD44" i="1"/>
  <c r="DE44" i="1" s="1"/>
  <c r="D46" i="1"/>
  <c r="M44" i="1"/>
  <c r="L46" i="1"/>
  <c r="U44" i="1"/>
  <c r="T46" i="1"/>
  <c r="AC44" i="1"/>
  <c r="AB46" i="1"/>
  <c r="AK44" i="1"/>
  <c r="AJ46" i="1"/>
  <c r="AS44" i="1"/>
  <c r="AR46" i="1"/>
  <c r="BA44" i="1"/>
  <c r="AZ46" i="1"/>
  <c r="BI44" i="1"/>
  <c r="BH46" i="1"/>
  <c r="BQ44" i="1"/>
  <c r="BP46" i="1"/>
  <c r="BY44" i="1"/>
  <c r="BX46" i="1"/>
  <c r="CG44" i="1"/>
  <c r="CF46" i="1"/>
  <c r="CO44" i="1"/>
  <c r="CN46" i="1"/>
  <c r="CW44" i="1"/>
  <c r="CV46" i="1"/>
  <c r="E48" i="1"/>
  <c r="M48" i="1"/>
  <c r="U48" i="1"/>
  <c r="AC48" i="1"/>
  <c r="AK48" i="1"/>
  <c r="AS48" i="1"/>
  <c r="BA48" i="1"/>
  <c r="BI48" i="1"/>
  <c r="BQ48" i="1"/>
  <c r="BY48" i="1"/>
  <c r="CG48" i="1"/>
  <c r="CO48" i="1"/>
  <c r="CW48" i="1"/>
  <c r="D50" i="1"/>
  <c r="H50" i="1"/>
  <c r="I50" i="1" s="1"/>
  <c r="L50" i="1"/>
  <c r="P50" i="1"/>
  <c r="Q50" i="1" s="1"/>
  <c r="T50" i="1"/>
  <c r="X50" i="1"/>
  <c r="AB50" i="1"/>
  <c r="AF50" i="1"/>
  <c r="AG50" i="1" s="1"/>
  <c r="AJ50" i="1"/>
  <c r="AN50" i="1"/>
  <c r="AO50" i="1" s="1"/>
  <c r="AR50" i="1"/>
  <c r="AV50" i="1"/>
  <c r="AW50" i="1" s="1"/>
  <c r="AZ50" i="1"/>
  <c r="BD50" i="1"/>
  <c r="BH50" i="1"/>
  <c r="BL50" i="1"/>
  <c r="BM50" i="1" s="1"/>
  <c r="BP50" i="1"/>
  <c r="BT50" i="1"/>
  <c r="BU50" i="1" s="1"/>
  <c r="BX50" i="1"/>
  <c r="CB50" i="1"/>
  <c r="CC50" i="1" s="1"/>
  <c r="CF50" i="1"/>
  <c r="CJ50" i="1"/>
  <c r="CN50" i="1"/>
  <c r="CR50" i="1"/>
  <c r="CS50" i="1" s="1"/>
  <c r="CV50" i="1"/>
  <c r="CZ50" i="1"/>
  <c r="DA50" i="1" s="1"/>
  <c r="F64" i="1"/>
  <c r="G62" i="1"/>
  <c r="N64" i="1"/>
  <c r="O64" i="1" s="1"/>
  <c r="O62" i="1"/>
  <c r="V64" i="1"/>
  <c r="W64" i="1" s="1"/>
  <c r="W62" i="1"/>
  <c r="AD64" i="1"/>
  <c r="AE64" i="1" s="1"/>
  <c r="AE62" i="1"/>
  <c r="AL64" i="1"/>
  <c r="AM64" i="1" s="1"/>
  <c r="AM62" i="1"/>
  <c r="AT64" i="1"/>
  <c r="AU64" i="1" s="1"/>
  <c r="AU62" i="1"/>
  <c r="BB64" i="1"/>
  <c r="BC64" i="1" s="1"/>
  <c r="BC62" i="1"/>
  <c r="BJ64" i="1"/>
  <c r="BK64" i="1" s="1"/>
  <c r="BK62" i="1"/>
  <c r="BR64" i="1"/>
  <c r="BS64" i="1" s="1"/>
  <c r="BS62" i="1"/>
  <c r="BZ64" i="1"/>
  <c r="CA64" i="1" s="1"/>
  <c r="CA62" i="1"/>
  <c r="CH64" i="1"/>
  <c r="CI64" i="1" s="1"/>
  <c r="CI62" i="1"/>
  <c r="CQ64" i="1"/>
  <c r="CY62" i="1"/>
  <c r="M64" i="1"/>
  <c r="AG64" i="1"/>
  <c r="BY64" i="1"/>
  <c r="CS64" i="1"/>
  <c r="K68" i="1"/>
  <c r="S66" i="1"/>
  <c r="AA68" i="1"/>
  <c r="AI66" i="1"/>
  <c r="AQ68" i="1"/>
  <c r="AY66" i="1"/>
  <c r="BG68" i="1"/>
  <c r="BO66" i="1"/>
  <c r="BW68" i="1"/>
  <c r="CE66" i="1"/>
  <c r="CM68" i="1"/>
  <c r="CU66" i="1"/>
  <c r="DC68" i="1"/>
  <c r="AC68" i="1"/>
  <c r="BI68" i="1"/>
  <c r="CO68" i="1"/>
  <c r="I73" i="1"/>
  <c r="Q73" i="1"/>
  <c r="AG73" i="1"/>
  <c r="AW73" i="1"/>
  <c r="BM73" i="1"/>
  <c r="CC73" i="1"/>
  <c r="CS73" i="1"/>
  <c r="I71" i="1"/>
  <c r="Y71" i="1"/>
  <c r="AO71" i="1"/>
  <c r="BE71" i="1"/>
  <c r="BU71" i="1"/>
  <c r="CK71" i="1"/>
  <c r="DA71" i="1"/>
  <c r="G44" i="1"/>
  <c r="K44" i="1"/>
  <c r="O44" i="1"/>
  <c r="S44" i="1"/>
  <c r="W44" i="1"/>
  <c r="AA44" i="1"/>
  <c r="AE44" i="1"/>
  <c r="AI44" i="1"/>
  <c r="AM44" i="1"/>
  <c r="AQ44" i="1"/>
  <c r="AU44" i="1"/>
  <c r="AY44" i="1"/>
  <c r="BC44" i="1"/>
  <c r="BG44" i="1"/>
  <c r="BK44" i="1"/>
  <c r="BO44" i="1"/>
  <c r="BS44" i="1"/>
  <c r="BW44" i="1"/>
  <c r="CA44" i="1"/>
  <c r="CE44" i="1"/>
  <c r="CI44" i="1"/>
  <c r="CM44" i="1"/>
  <c r="CQ44" i="1"/>
  <c r="CU44" i="1"/>
  <c r="CY44" i="1"/>
  <c r="DC44" i="1"/>
  <c r="I64" i="1"/>
  <c r="Y64" i="1"/>
  <c r="AO64" i="1"/>
  <c r="BE64" i="1"/>
  <c r="BU64" i="1"/>
  <c r="CK64" i="1"/>
  <c r="DA64" i="1"/>
  <c r="Q64" i="1"/>
  <c r="BI64" i="1"/>
  <c r="CC64" i="1"/>
  <c r="E68" i="1"/>
  <c r="U68" i="1"/>
  <c r="AK68" i="1"/>
  <c r="BA68" i="1"/>
  <c r="BQ68" i="1"/>
  <c r="CG68" i="1"/>
  <c r="CW68" i="1"/>
  <c r="I68" i="1"/>
  <c r="AO68" i="1"/>
  <c r="BU68" i="1"/>
  <c r="DA68" i="1"/>
  <c r="S73" i="1"/>
  <c r="AI73" i="1"/>
  <c r="AY73" i="1"/>
  <c r="BO73" i="1"/>
  <c r="CE73" i="1"/>
  <c r="CU73" i="1"/>
  <c r="DD48" i="1"/>
  <c r="DE48" i="1" s="1"/>
  <c r="K62" i="1"/>
  <c r="J64" i="1"/>
  <c r="K64" i="1" s="1"/>
  <c r="R64" i="1"/>
  <c r="S64" i="1" s="1"/>
  <c r="S62" i="1"/>
  <c r="AA62" i="1"/>
  <c r="Z64" i="1"/>
  <c r="AA64" i="1" s="1"/>
  <c r="AH64" i="1"/>
  <c r="AI64" i="1" s="1"/>
  <c r="AI62" i="1"/>
  <c r="AQ62" i="1"/>
  <c r="AP64" i="1"/>
  <c r="AQ64" i="1" s="1"/>
  <c r="AX64" i="1"/>
  <c r="AY64" i="1" s="1"/>
  <c r="AY62" i="1"/>
  <c r="BG62" i="1"/>
  <c r="BF64" i="1"/>
  <c r="BG64" i="1" s="1"/>
  <c r="BN64" i="1"/>
  <c r="BO64" i="1" s="1"/>
  <c r="BO62" i="1"/>
  <c r="BW62" i="1"/>
  <c r="BV64" i="1"/>
  <c r="BW64" i="1" s="1"/>
  <c r="CD64" i="1"/>
  <c r="CE64" i="1" s="1"/>
  <c r="CE62" i="1"/>
  <c r="CM62" i="1"/>
  <c r="CL64" i="1"/>
  <c r="CM64" i="1" s="1"/>
  <c r="CU64" i="1"/>
  <c r="DC62" i="1"/>
  <c r="AS64" i="1"/>
  <c r="BM64" i="1"/>
  <c r="G66" i="1"/>
  <c r="O68" i="1"/>
  <c r="W66" i="1"/>
  <c r="AE68" i="1"/>
  <c r="AM66" i="1"/>
  <c r="AU68" i="1"/>
  <c r="BC66" i="1"/>
  <c r="BK68" i="1"/>
  <c r="BS66" i="1"/>
  <c r="CA68" i="1"/>
  <c r="CI66" i="1"/>
  <c r="CQ68" i="1"/>
  <c r="CY66" i="1"/>
  <c r="M68" i="1"/>
  <c r="AS68" i="1"/>
  <c r="BY68" i="1"/>
  <c r="E71" i="1"/>
  <c r="M71" i="1"/>
  <c r="U71" i="1"/>
  <c r="AC71" i="1"/>
  <c r="AK71" i="1"/>
  <c r="AS71" i="1"/>
  <c r="BA71" i="1"/>
  <c r="BI71" i="1"/>
  <c r="BQ71" i="1"/>
  <c r="BY71" i="1"/>
  <c r="CG71" i="1"/>
  <c r="CO71" i="1"/>
  <c r="CW71" i="1"/>
  <c r="K73" i="1"/>
  <c r="AC64" i="1"/>
  <c r="AW64" i="1"/>
  <c r="CO64" i="1"/>
  <c r="Y68" i="1"/>
  <c r="BE68" i="1"/>
  <c r="CK68" i="1"/>
  <c r="G73" i="1"/>
  <c r="O70" i="1"/>
  <c r="W73" i="1"/>
  <c r="AE70" i="1"/>
  <c r="AM73" i="1"/>
  <c r="AU70" i="1"/>
  <c r="BC73" i="1"/>
  <c r="BK70" i="1"/>
  <c r="BS73" i="1"/>
  <c r="CA70" i="1"/>
  <c r="CI73" i="1"/>
  <c r="CQ70" i="1"/>
  <c r="CY73" i="1"/>
  <c r="CW62" i="1"/>
  <c r="DB64" i="1"/>
  <c r="DC64" i="1" s="1"/>
  <c r="Q66" i="1"/>
  <c r="AG66" i="1"/>
  <c r="AW66" i="1"/>
  <c r="BM66" i="1"/>
  <c r="CC66" i="1"/>
  <c r="CS66" i="1"/>
  <c r="F68" i="1"/>
  <c r="G68" i="1" s="1"/>
  <c r="V68" i="1"/>
  <c r="W68" i="1" s="1"/>
  <c r="AL68" i="1"/>
  <c r="AM68" i="1" s="1"/>
  <c r="BB68" i="1"/>
  <c r="BC68" i="1" s="1"/>
  <c r="BR68" i="1"/>
  <c r="BS68" i="1" s="1"/>
  <c r="CH68" i="1"/>
  <c r="CI68" i="1" s="1"/>
  <c r="CX68" i="1"/>
  <c r="CY68" i="1" s="1"/>
  <c r="M70" i="1"/>
  <c r="AC70" i="1"/>
  <c r="AS70" i="1"/>
  <c r="BI70" i="1"/>
  <c r="BY70" i="1"/>
  <c r="CO70" i="1"/>
  <c r="DD70" i="1"/>
  <c r="DE70" i="1" s="1"/>
  <c r="S71" i="1"/>
  <c r="AI71" i="1"/>
  <c r="AY71" i="1"/>
  <c r="BO71" i="1"/>
  <c r="CE71" i="1"/>
  <c r="CU71" i="1"/>
  <c r="N73" i="1"/>
  <c r="O73" i="1" s="1"/>
  <c r="U73" i="1"/>
  <c r="AB73" i="1"/>
  <c r="AC73" i="1" s="1"/>
  <c r="AK73" i="1"/>
  <c r="AR73" i="1"/>
  <c r="AS73" i="1" s="1"/>
  <c r="BA73" i="1"/>
  <c r="BH73" i="1"/>
  <c r="BI73" i="1" s="1"/>
  <c r="BQ73" i="1"/>
  <c r="BX73" i="1"/>
  <c r="BY73" i="1" s="1"/>
  <c r="CG73" i="1"/>
  <c r="CN73" i="1"/>
  <c r="CO73" i="1" s="1"/>
  <c r="CW73" i="1"/>
  <c r="J77" i="1"/>
  <c r="K77" i="1" s="1"/>
  <c r="K75" i="1"/>
  <c r="R77" i="1"/>
  <c r="S77" i="1" s="1"/>
  <c r="S75" i="1"/>
  <c r="Z77" i="1"/>
  <c r="AA77" i="1" s="1"/>
  <c r="AA75" i="1"/>
  <c r="AH77" i="1"/>
  <c r="AI77" i="1" s="1"/>
  <c r="AI75" i="1"/>
  <c r="AP77" i="1"/>
  <c r="AQ77" i="1" s="1"/>
  <c r="AQ75" i="1"/>
  <c r="AX77" i="1"/>
  <c r="AY77" i="1" s="1"/>
  <c r="AY75" i="1"/>
  <c r="BF77" i="1"/>
  <c r="BG77" i="1" s="1"/>
  <c r="BG75" i="1"/>
  <c r="BN77" i="1"/>
  <c r="BO77" i="1" s="1"/>
  <c r="BO75" i="1"/>
  <c r="BV77" i="1"/>
  <c r="BW77" i="1" s="1"/>
  <c r="BW75" i="1"/>
  <c r="CD77" i="1"/>
  <c r="CE77" i="1" s="1"/>
  <c r="CE75" i="1"/>
  <c r="CL77" i="1"/>
  <c r="CM77" i="1" s="1"/>
  <c r="CM75" i="1"/>
  <c r="CT77" i="1"/>
  <c r="CU77" i="1" s="1"/>
  <c r="CU75" i="1"/>
  <c r="DB77" i="1"/>
  <c r="DC77" i="1" s="1"/>
  <c r="DC75" i="1"/>
  <c r="G81" i="1"/>
  <c r="O81" i="1"/>
  <c r="W81" i="1"/>
  <c r="AE81" i="1"/>
  <c r="AM81" i="1"/>
  <c r="AU81" i="1"/>
  <c r="BC81" i="1"/>
  <c r="BK81" i="1"/>
  <c r="BS81" i="1"/>
  <c r="CA81" i="1"/>
  <c r="CI81" i="1"/>
  <c r="CQ81" i="1"/>
  <c r="CY81" i="1"/>
  <c r="G85" i="1"/>
  <c r="O85" i="1"/>
  <c r="W85" i="1"/>
  <c r="AE85" i="1"/>
  <c r="AM85" i="1"/>
  <c r="AU85" i="1"/>
  <c r="BC85" i="1"/>
  <c r="BK85" i="1"/>
  <c r="BS85" i="1"/>
  <c r="CA85" i="1"/>
  <c r="CI85" i="1"/>
  <c r="CQ85" i="1"/>
  <c r="CY85" i="1"/>
  <c r="G87" i="1"/>
  <c r="O87" i="1"/>
  <c r="W87" i="1"/>
  <c r="AE87" i="1"/>
  <c r="AM89" i="1"/>
  <c r="AU89" i="1"/>
  <c r="BC89" i="1"/>
  <c r="BK89" i="1"/>
  <c r="BS89" i="1"/>
  <c r="CA89" i="1"/>
  <c r="CI89" i="1"/>
  <c r="CQ89" i="1"/>
  <c r="CY89" i="1"/>
  <c r="CS62" i="1"/>
  <c r="CX64" i="1"/>
  <c r="CY64" i="1" s="1"/>
  <c r="M66" i="1"/>
  <c r="AC66" i="1"/>
  <c r="AS66" i="1"/>
  <c r="BI66" i="1"/>
  <c r="BY66" i="1"/>
  <c r="CO66" i="1"/>
  <c r="DD66" i="1"/>
  <c r="DE66" i="1" s="1"/>
  <c r="R68" i="1"/>
  <c r="S68" i="1" s="1"/>
  <c r="AH68" i="1"/>
  <c r="AI68" i="1" s="1"/>
  <c r="AX68" i="1"/>
  <c r="AY68" i="1" s="1"/>
  <c r="BN68" i="1"/>
  <c r="BO68" i="1" s="1"/>
  <c r="CD68" i="1"/>
  <c r="CE68" i="1" s="1"/>
  <c r="CT68" i="1"/>
  <c r="CU68" i="1" s="1"/>
  <c r="I70" i="1"/>
  <c r="S70" i="1"/>
  <c r="Y70" i="1"/>
  <c r="AI70" i="1"/>
  <c r="AO70" i="1"/>
  <c r="AY70" i="1"/>
  <c r="BE70" i="1"/>
  <c r="BO70" i="1"/>
  <c r="BU70" i="1"/>
  <c r="CE70" i="1"/>
  <c r="CK70" i="1"/>
  <c r="CU70" i="1"/>
  <c r="DA70" i="1"/>
  <c r="O71" i="1"/>
  <c r="AE71" i="1"/>
  <c r="AU71" i="1"/>
  <c r="BK71" i="1"/>
  <c r="CA71" i="1"/>
  <c r="CQ71" i="1"/>
  <c r="D73" i="1"/>
  <c r="AD73" i="1"/>
  <c r="AE73" i="1" s="1"/>
  <c r="AT73" i="1"/>
  <c r="AU73" i="1" s="1"/>
  <c r="BJ73" i="1"/>
  <c r="BK73" i="1" s="1"/>
  <c r="BZ73" i="1"/>
  <c r="CA73" i="1" s="1"/>
  <c r="CP73" i="1"/>
  <c r="CQ73" i="1" s="1"/>
  <c r="D77" i="1"/>
  <c r="E75" i="1"/>
  <c r="L77" i="1"/>
  <c r="M77" i="1" s="1"/>
  <c r="M75" i="1"/>
  <c r="T77" i="1"/>
  <c r="U77" i="1" s="1"/>
  <c r="U75" i="1"/>
  <c r="AB77" i="1"/>
  <c r="AC77" i="1" s="1"/>
  <c r="AC75" i="1"/>
  <c r="AJ77" i="1"/>
  <c r="AK77" i="1" s="1"/>
  <c r="AK75" i="1"/>
  <c r="AR77" i="1"/>
  <c r="AS77" i="1" s="1"/>
  <c r="AS75" i="1"/>
  <c r="AZ77" i="1"/>
  <c r="BA77" i="1" s="1"/>
  <c r="BA75" i="1"/>
  <c r="BH77" i="1"/>
  <c r="BI77" i="1" s="1"/>
  <c r="BI75" i="1"/>
  <c r="BP77" i="1"/>
  <c r="BQ77" i="1" s="1"/>
  <c r="BQ75" i="1"/>
  <c r="BX77" i="1"/>
  <c r="BY77" i="1" s="1"/>
  <c r="BY75" i="1"/>
  <c r="CF77" i="1"/>
  <c r="CG77" i="1" s="1"/>
  <c r="CG75" i="1"/>
  <c r="CN77" i="1"/>
  <c r="CO77" i="1" s="1"/>
  <c r="CO75" i="1"/>
  <c r="CV77" i="1"/>
  <c r="CW77" i="1" s="1"/>
  <c r="CW75" i="1"/>
  <c r="I81" i="1"/>
  <c r="Q81" i="1"/>
  <c r="Y81" i="1"/>
  <c r="AG81" i="1"/>
  <c r="AO81" i="1"/>
  <c r="AW81" i="1"/>
  <c r="BE81" i="1"/>
  <c r="BM81" i="1"/>
  <c r="BU81" i="1"/>
  <c r="CC81" i="1"/>
  <c r="CK81" i="1"/>
  <c r="CS81" i="1"/>
  <c r="DA81" i="1"/>
  <c r="H85" i="1"/>
  <c r="I83" i="1"/>
  <c r="P85" i="1"/>
  <c r="Q83" i="1"/>
  <c r="X85" i="1"/>
  <c r="Y83" i="1"/>
  <c r="AF85" i="1"/>
  <c r="AG83" i="1"/>
  <c r="AN85" i="1"/>
  <c r="AO83" i="1"/>
  <c r="AV85" i="1"/>
  <c r="AW83" i="1"/>
  <c r="BD85" i="1"/>
  <c r="BE83" i="1"/>
  <c r="BL85" i="1"/>
  <c r="BM83" i="1"/>
  <c r="BT85" i="1"/>
  <c r="BU83" i="1"/>
  <c r="CB85" i="1"/>
  <c r="CC83" i="1"/>
  <c r="CJ85" i="1"/>
  <c r="CK83" i="1"/>
  <c r="CR85" i="1"/>
  <c r="CS83" i="1"/>
  <c r="CZ85" i="1"/>
  <c r="DA83" i="1"/>
  <c r="I89" i="1"/>
  <c r="Q89" i="1"/>
  <c r="Y89" i="1"/>
  <c r="AG89" i="1"/>
  <c r="CO62" i="1"/>
  <c r="I66" i="1"/>
  <c r="Y66" i="1"/>
  <c r="AO66" i="1"/>
  <c r="BE66" i="1"/>
  <c r="BU66" i="1"/>
  <c r="CK66" i="1"/>
  <c r="DA66" i="1"/>
  <c r="E70" i="1"/>
  <c r="U70" i="1"/>
  <c r="AK70" i="1"/>
  <c r="BA70" i="1"/>
  <c r="BQ70" i="1"/>
  <c r="CG70" i="1"/>
  <c r="CW70" i="1"/>
  <c r="K71" i="1"/>
  <c r="AA71" i="1"/>
  <c r="AQ71" i="1"/>
  <c r="BG71" i="1"/>
  <c r="BW71" i="1"/>
  <c r="CM71" i="1"/>
  <c r="DC71" i="1"/>
  <c r="X73" i="1"/>
  <c r="Y73" i="1" s="1"/>
  <c r="AN73" i="1"/>
  <c r="AO73" i="1" s="1"/>
  <c r="BD73" i="1"/>
  <c r="BE73" i="1" s="1"/>
  <c r="BT73" i="1"/>
  <c r="BU73" i="1" s="1"/>
  <c r="CJ73" i="1"/>
  <c r="CK73" i="1" s="1"/>
  <c r="CZ73" i="1"/>
  <c r="DA73" i="1" s="1"/>
  <c r="F77" i="1"/>
  <c r="G77" i="1" s="1"/>
  <c r="G75" i="1"/>
  <c r="N77" i="1"/>
  <c r="O77" i="1" s="1"/>
  <c r="O75" i="1"/>
  <c r="V77" i="1"/>
  <c r="W77" i="1" s="1"/>
  <c r="W75" i="1"/>
  <c r="AD77" i="1"/>
  <c r="AE77" i="1" s="1"/>
  <c r="AE75" i="1"/>
  <c r="AL77" i="1"/>
  <c r="AM77" i="1" s="1"/>
  <c r="AM75" i="1"/>
  <c r="AT77" i="1"/>
  <c r="AU77" i="1" s="1"/>
  <c r="AU75" i="1"/>
  <c r="BB77" i="1"/>
  <c r="BC77" i="1" s="1"/>
  <c r="BC75" i="1"/>
  <c r="BJ77" i="1"/>
  <c r="BK77" i="1" s="1"/>
  <c r="BK75" i="1"/>
  <c r="BR77" i="1"/>
  <c r="BS77" i="1" s="1"/>
  <c r="BS75" i="1"/>
  <c r="BZ77" i="1"/>
  <c r="CA77" i="1" s="1"/>
  <c r="CA75" i="1"/>
  <c r="CH77" i="1"/>
  <c r="CI77" i="1" s="1"/>
  <c r="CI75" i="1"/>
  <c r="CP77" i="1"/>
  <c r="CQ77" i="1" s="1"/>
  <c r="CQ75" i="1"/>
  <c r="CX77" i="1"/>
  <c r="CY77" i="1" s="1"/>
  <c r="CY75" i="1"/>
  <c r="K81" i="1"/>
  <c r="S81" i="1"/>
  <c r="AA81" i="1"/>
  <c r="AI81" i="1"/>
  <c r="AQ81" i="1"/>
  <c r="AY81" i="1"/>
  <c r="BG81" i="1"/>
  <c r="BO81" i="1"/>
  <c r="BW81" i="1"/>
  <c r="CE81" i="1"/>
  <c r="CM81" i="1"/>
  <c r="CU81" i="1"/>
  <c r="DC81" i="1"/>
  <c r="J91" i="1"/>
  <c r="K91" i="1" s="1"/>
  <c r="K85" i="1"/>
  <c r="S85" i="1"/>
  <c r="Z91" i="1"/>
  <c r="AA91" i="1" s="1"/>
  <c r="AA85" i="1"/>
  <c r="AI85" i="1"/>
  <c r="AP91" i="1"/>
  <c r="AQ91" i="1" s="1"/>
  <c r="AQ85" i="1"/>
  <c r="AY85" i="1"/>
  <c r="BF91" i="1"/>
  <c r="BG91" i="1" s="1"/>
  <c r="BG85" i="1"/>
  <c r="BO85" i="1"/>
  <c r="BV91" i="1"/>
  <c r="BW91" i="1" s="1"/>
  <c r="BW85" i="1"/>
  <c r="CE85" i="1"/>
  <c r="CL91" i="1"/>
  <c r="CM91" i="1" s="1"/>
  <c r="CM85" i="1"/>
  <c r="CU85" i="1"/>
  <c r="DB91" i="1"/>
  <c r="DC91" i="1" s="1"/>
  <c r="DC85" i="1"/>
  <c r="K89" i="1"/>
  <c r="S89" i="1"/>
  <c r="AA89" i="1"/>
  <c r="DA62" i="1"/>
  <c r="CV64" i="1"/>
  <c r="CW64" i="1" s="1"/>
  <c r="E66" i="1"/>
  <c r="U66" i="1"/>
  <c r="AK66" i="1"/>
  <c r="BA66" i="1"/>
  <c r="BQ66" i="1"/>
  <c r="CG66" i="1"/>
  <c r="CW66" i="1"/>
  <c r="P68" i="1"/>
  <c r="Q68" i="1" s="1"/>
  <c r="AF68" i="1"/>
  <c r="AG68" i="1" s="1"/>
  <c r="AV68" i="1"/>
  <c r="AW68" i="1" s="1"/>
  <c r="BL68" i="1"/>
  <c r="BM68" i="1" s="1"/>
  <c r="CB68" i="1"/>
  <c r="CC68" i="1" s="1"/>
  <c r="CR68" i="1"/>
  <c r="CS68" i="1" s="1"/>
  <c r="Q70" i="1"/>
  <c r="AG70" i="1"/>
  <c r="AW70" i="1"/>
  <c r="BM70" i="1"/>
  <c r="CC70" i="1"/>
  <c r="CS70" i="1"/>
  <c r="G71" i="1"/>
  <c r="W71" i="1"/>
  <c r="AM71" i="1"/>
  <c r="BC71" i="1"/>
  <c r="BS71" i="1"/>
  <c r="CI71" i="1"/>
  <c r="CY71" i="1"/>
  <c r="DD71" i="1"/>
  <c r="DE71" i="1" s="1"/>
  <c r="L73" i="1"/>
  <c r="M73" i="1" s="1"/>
  <c r="AA73" i="1"/>
  <c r="AQ73" i="1"/>
  <c r="BG73" i="1"/>
  <c r="BW73" i="1"/>
  <c r="CM73" i="1"/>
  <c r="DC73" i="1"/>
  <c r="H77" i="1"/>
  <c r="I77" i="1" s="1"/>
  <c r="I75" i="1"/>
  <c r="P77" i="1"/>
  <c r="Q77" i="1" s="1"/>
  <c r="Q75" i="1"/>
  <c r="X77" i="1"/>
  <c r="Y77" i="1" s="1"/>
  <c r="Y75" i="1"/>
  <c r="AF77" i="1"/>
  <c r="AG77" i="1" s="1"/>
  <c r="AG75" i="1"/>
  <c r="AN77" i="1"/>
  <c r="AO77" i="1" s="1"/>
  <c r="AO75" i="1"/>
  <c r="AV77" i="1"/>
  <c r="AW77" i="1" s="1"/>
  <c r="AW75" i="1"/>
  <c r="BD77" i="1"/>
  <c r="BE77" i="1" s="1"/>
  <c r="BE75" i="1"/>
  <c r="BL77" i="1"/>
  <c r="BM77" i="1" s="1"/>
  <c r="BM75" i="1"/>
  <c r="BT77" i="1"/>
  <c r="BU77" i="1" s="1"/>
  <c r="BU75" i="1"/>
  <c r="CB77" i="1"/>
  <c r="CC77" i="1" s="1"/>
  <c r="CC75" i="1"/>
  <c r="CJ77" i="1"/>
  <c r="CK77" i="1" s="1"/>
  <c r="CK75" i="1"/>
  <c r="CR77" i="1"/>
  <c r="CS77" i="1" s="1"/>
  <c r="CS75" i="1"/>
  <c r="CZ77" i="1"/>
  <c r="DA77" i="1" s="1"/>
  <c r="DA75" i="1"/>
  <c r="E81" i="1"/>
  <c r="DD81" i="1"/>
  <c r="DE81" i="1" s="1"/>
  <c r="M81" i="1"/>
  <c r="U81" i="1"/>
  <c r="AC81" i="1"/>
  <c r="AK81" i="1"/>
  <c r="AS81" i="1"/>
  <c r="BA81" i="1"/>
  <c r="BI81" i="1"/>
  <c r="BQ81" i="1"/>
  <c r="BY81" i="1"/>
  <c r="CG81" i="1"/>
  <c r="CO81" i="1"/>
  <c r="CW81" i="1"/>
  <c r="DD83" i="1"/>
  <c r="DE83" i="1" s="1"/>
  <c r="D85" i="1"/>
  <c r="E83" i="1"/>
  <c r="L85" i="1"/>
  <c r="M83" i="1"/>
  <c r="T85" i="1"/>
  <c r="U83" i="1"/>
  <c r="AB85" i="1"/>
  <c r="AC83" i="1"/>
  <c r="AJ85" i="1"/>
  <c r="AK83" i="1"/>
  <c r="AR85" i="1"/>
  <c r="AS83" i="1"/>
  <c r="AZ85" i="1"/>
  <c r="BA83" i="1"/>
  <c r="BH85" i="1"/>
  <c r="BI83" i="1"/>
  <c r="BP85" i="1"/>
  <c r="BQ83" i="1"/>
  <c r="BX85" i="1"/>
  <c r="BY83" i="1"/>
  <c r="CF85" i="1"/>
  <c r="CG83" i="1"/>
  <c r="CN85" i="1"/>
  <c r="CO83" i="1"/>
  <c r="CV85" i="1"/>
  <c r="CW83" i="1"/>
  <c r="E89" i="1"/>
  <c r="M89" i="1"/>
  <c r="U89" i="1"/>
  <c r="AC89" i="1"/>
  <c r="E87" i="1"/>
  <c r="I87" i="1"/>
  <c r="M87" i="1"/>
  <c r="Q87" i="1"/>
  <c r="U87" i="1"/>
  <c r="Y87" i="1"/>
  <c r="AC87" i="1"/>
  <c r="AG87" i="1"/>
  <c r="AO87" i="1"/>
  <c r="AW87" i="1"/>
  <c r="BE87" i="1"/>
  <c r="BM87" i="1"/>
  <c r="BU87" i="1"/>
  <c r="CC87" i="1"/>
  <c r="CK87" i="1"/>
  <c r="CS87" i="1"/>
  <c r="DA87" i="1"/>
  <c r="F89" i="1"/>
  <c r="G89" i="1" s="1"/>
  <c r="N89" i="1"/>
  <c r="O89" i="1" s="1"/>
  <c r="V89" i="1"/>
  <c r="W89" i="1" s="1"/>
  <c r="AD89" i="1"/>
  <c r="AE89" i="1" s="1"/>
  <c r="J97" i="1"/>
  <c r="K95" i="1"/>
  <c r="R97" i="1"/>
  <c r="S95" i="1"/>
  <c r="Z97" i="1"/>
  <c r="AA95" i="1"/>
  <c r="AH97" i="1"/>
  <c r="AI95" i="1"/>
  <c r="AP97" i="1"/>
  <c r="AQ95" i="1"/>
  <c r="AX97" i="1"/>
  <c r="AY95" i="1"/>
  <c r="BF97" i="1"/>
  <c r="BG95" i="1"/>
  <c r="BN97" i="1"/>
  <c r="BO95" i="1"/>
  <c r="BV97" i="1"/>
  <c r="BW95" i="1"/>
  <c r="CD97" i="1"/>
  <c r="CE95" i="1"/>
  <c r="CL97" i="1"/>
  <c r="CM95" i="1"/>
  <c r="CT97" i="1"/>
  <c r="CU95" i="1"/>
  <c r="DB97" i="1"/>
  <c r="DC95" i="1"/>
  <c r="AI87" i="1"/>
  <c r="AQ87" i="1"/>
  <c r="AY87" i="1"/>
  <c r="BG87" i="1"/>
  <c r="BO87" i="1"/>
  <c r="BW87" i="1"/>
  <c r="CE87" i="1"/>
  <c r="CM87" i="1"/>
  <c r="CU87" i="1"/>
  <c r="DC87" i="1"/>
  <c r="AO89" i="1"/>
  <c r="AW89" i="1"/>
  <c r="BE89" i="1"/>
  <c r="BM89" i="1"/>
  <c r="BU89" i="1"/>
  <c r="CC89" i="1"/>
  <c r="CK89" i="1"/>
  <c r="CS89" i="1"/>
  <c r="DA89" i="1"/>
  <c r="E97" i="1"/>
  <c r="M97" i="1"/>
  <c r="U97" i="1"/>
  <c r="AC97" i="1"/>
  <c r="AK97" i="1"/>
  <c r="AS97" i="1"/>
  <c r="BA97" i="1"/>
  <c r="BI97" i="1"/>
  <c r="BQ97" i="1"/>
  <c r="BY97" i="1"/>
  <c r="CG97" i="1"/>
  <c r="CO97" i="1"/>
  <c r="CW97" i="1"/>
  <c r="E96" i="1"/>
  <c r="DD96" i="1"/>
  <c r="DE96" i="1" s="1"/>
  <c r="M96" i="1"/>
  <c r="U96" i="1"/>
  <c r="AC96" i="1"/>
  <c r="AK96" i="1"/>
  <c r="AS96" i="1"/>
  <c r="BA96" i="1"/>
  <c r="BI96" i="1"/>
  <c r="BQ96" i="1"/>
  <c r="BY96" i="1"/>
  <c r="CG96" i="1"/>
  <c r="CO96" i="1"/>
  <c r="CW96" i="1"/>
  <c r="G83" i="1"/>
  <c r="K83" i="1"/>
  <c r="O83" i="1"/>
  <c r="S83" i="1"/>
  <c r="W83" i="1"/>
  <c r="AA83" i="1"/>
  <c r="AE83" i="1"/>
  <c r="AI83" i="1"/>
  <c r="AM83" i="1"/>
  <c r="AQ83" i="1"/>
  <c r="AU83" i="1"/>
  <c r="AY83" i="1"/>
  <c r="BC83" i="1"/>
  <c r="BG83" i="1"/>
  <c r="BK83" i="1"/>
  <c r="BO83" i="1"/>
  <c r="BS83" i="1"/>
  <c r="BW83" i="1"/>
  <c r="CA83" i="1"/>
  <c r="CE83" i="1"/>
  <c r="CI83" i="1"/>
  <c r="CM83" i="1"/>
  <c r="CQ83" i="1"/>
  <c r="CU83" i="1"/>
  <c r="CY83" i="1"/>
  <c r="DC83" i="1"/>
  <c r="K87" i="1"/>
  <c r="S87" i="1"/>
  <c r="AA87" i="1"/>
  <c r="AK87" i="1"/>
  <c r="AS87" i="1"/>
  <c r="BA87" i="1"/>
  <c r="BI87" i="1"/>
  <c r="BQ87" i="1"/>
  <c r="BY87" i="1"/>
  <c r="CG87" i="1"/>
  <c r="CO87" i="1"/>
  <c r="CW87" i="1"/>
  <c r="DD87" i="1"/>
  <c r="DE87" i="1" s="1"/>
  <c r="AH89" i="1"/>
  <c r="AI89" i="1" s="1"/>
  <c r="AP89" i="1"/>
  <c r="AQ89" i="1" s="1"/>
  <c r="AX89" i="1"/>
  <c r="AY89" i="1" s="1"/>
  <c r="BF89" i="1"/>
  <c r="BG89" i="1" s="1"/>
  <c r="BN89" i="1"/>
  <c r="BO89" i="1" s="1"/>
  <c r="BV89" i="1"/>
  <c r="BW89" i="1" s="1"/>
  <c r="CD89" i="1"/>
  <c r="CE89" i="1" s="1"/>
  <c r="CL89" i="1"/>
  <c r="CM89" i="1" s="1"/>
  <c r="CT89" i="1"/>
  <c r="CU89" i="1" s="1"/>
  <c r="DB89" i="1"/>
  <c r="DC89" i="1" s="1"/>
  <c r="G95" i="1"/>
  <c r="F97" i="1"/>
  <c r="O95" i="1"/>
  <c r="N97" i="1"/>
  <c r="W95" i="1"/>
  <c r="V97" i="1"/>
  <c r="AE95" i="1"/>
  <c r="AD97" i="1"/>
  <c r="AM95" i="1"/>
  <c r="AL97" i="1"/>
  <c r="AU95" i="1"/>
  <c r="AT97" i="1"/>
  <c r="BC95" i="1"/>
  <c r="BB97" i="1"/>
  <c r="BK95" i="1"/>
  <c r="BJ97" i="1"/>
  <c r="BS95" i="1"/>
  <c r="BR97" i="1"/>
  <c r="CA95" i="1"/>
  <c r="BZ97" i="1"/>
  <c r="CI95" i="1"/>
  <c r="CH97" i="1"/>
  <c r="CQ95" i="1"/>
  <c r="CP97" i="1"/>
  <c r="CY95" i="1"/>
  <c r="CX97" i="1"/>
  <c r="AM87" i="1"/>
  <c r="AU87" i="1"/>
  <c r="BC87" i="1"/>
  <c r="BK87" i="1"/>
  <c r="BS87" i="1"/>
  <c r="CA87" i="1"/>
  <c r="CI87" i="1"/>
  <c r="CQ87" i="1"/>
  <c r="CY87" i="1"/>
  <c r="AK89" i="1"/>
  <c r="AS89" i="1"/>
  <c r="BA89" i="1"/>
  <c r="BI89" i="1"/>
  <c r="BQ89" i="1"/>
  <c r="BY89" i="1"/>
  <c r="CG89" i="1"/>
  <c r="CO89" i="1"/>
  <c r="CW89" i="1"/>
  <c r="I95" i="1"/>
  <c r="Q95" i="1"/>
  <c r="Y95" i="1"/>
  <c r="AG95" i="1"/>
  <c r="AO95" i="1"/>
  <c r="AW97" i="1"/>
  <c r="BE97" i="1"/>
  <c r="BM97" i="1"/>
  <c r="BU97" i="1"/>
  <c r="CC97" i="1"/>
  <c r="CK97" i="1"/>
  <c r="CS97" i="1"/>
  <c r="DA97" i="1"/>
  <c r="I96" i="1"/>
  <c r="Q96" i="1"/>
  <c r="Y96" i="1"/>
  <c r="AG96" i="1"/>
  <c r="AO96" i="1"/>
  <c r="AW96" i="1"/>
  <c r="BE96" i="1"/>
  <c r="BM96" i="1"/>
  <c r="BU96" i="1"/>
  <c r="CC96" i="1"/>
  <c r="CK96" i="1"/>
  <c r="CS96" i="1"/>
  <c r="DA96" i="1"/>
  <c r="CA100" i="1"/>
  <c r="E99" i="1"/>
  <c r="D100" i="1"/>
  <c r="E100" i="1" s="1"/>
  <c r="M99" i="1"/>
  <c r="L100" i="1"/>
  <c r="M100" i="1" s="1"/>
  <c r="U99" i="1"/>
  <c r="T100" i="1"/>
  <c r="U100" i="1" s="1"/>
  <c r="AC99" i="1"/>
  <c r="AB100" i="1"/>
  <c r="AC100" i="1" s="1"/>
  <c r="AK99" i="1"/>
  <c r="AJ100" i="1"/>
  <c r="AK100" i="1" s="1"/>
  <c r="AS99" i="1"/>
  <c r="AR100" i="1"/>
  <c r="AS100" i="1" s="1"/>
  <c r="BA99" i="1"/>
  <c r="AZ100" i="1"/>
  <c r="BA100" i="1" s="1"/>
  <c r="BI99" i="1"/>
  <c r="BH100" i="1"/>
  <c r="BI100" i="1" s="1"/>
  <c r="BP100" i="1"/>
  <c r="BQ100" i="1" s="1"/>
  <c r="BQ99" i="1"/>
  <c r="BY99" i="1"/>
  <c r="BX100" i="1"/>
  <c r="BY100" i="1" s="1"/>
  <c r="CF100" i="1"/>
  <c r="CG100" i="1" s="1"/>
  <c r="CG99" i="1"/>
  <c r="CO99" i="1"/>
  <c r="CN100" i="1"/>
  <c r="CO100" i="1" s="1"/>
  <c r="CV100" i="1"/>
  <c r="CW100" i="1" s="1"/>
  <c r="CW99" i="1"/>
  <c r="DD99" i="1"/>
  <c r="CK100" i="1"/>
  <c r="D103" i="1"/>
  <c r="E103" i="1" s="1"/>
  <c r="DD102" i="1"/>
  <c r="E102" i="1"/>
  <c r="AE102" i="1"/>
  <c r="AJ103" i="1"/>
  <c r="AK103" i="1" s="1"/>
  <c r="AK102" i="1"/>
  <c r="BK102" i="1"/>
  <c r="BP103" i="1"/>
  <c r="BQ103" i="1" s="1"/>
  <c r="BQ102" i="1"/>
  <c r="CQ102" i="1"/>
  <c r="AU103" i="1"/>
  <c r="DE106" i="1"/>
  <c r="M106" i="1"/>
  <c r="U106" i="1"/>
  <c r="AC106" i="1"/>
  <c r="AK106" i="1"/>
  <c r="AS106" i="1"/>
  <c r="BA106" i="1"/>
  <c r="BI106" i="1"/>
  <c r="BQ106" i="1"/>
  <c r="BY106" i="1"/>
  <c r="CG106" i="1"/>
  <c r="CO106" i="1"/>
  <c r="CW106" i="1"/>
  <c r="H97" i="1"/>
  <c r="P97" i="1"/>
  <c r="X97" i="1"/>
  <c r="AF97" i="1"/>
  <c r="AN97" i="1"/>
  <c r="F100" i="1"/>
  <c r="G100" i="1" s="1"/>
  <c r="G99" i="1"/>
  <c r="N100" i="1"/>
  <c r="O100" i="1" s="1"/>
  <c r="O99" i="1"/>
  <c r="V100" i="1"/>
  <c r="W100" i="1" s="1"/>
  <c r="W99" i="1"/>
  <c r="AD100" i="1"/>
  <c r="AE100" i="1" s="1"/>
  <c r="AE99" i="1"/>
  <c r="AL100" i="1"/>
  <c r="AM100" i="1" s="1"/>
  <c r="AM99" i="1"/>
  <c r="AT100" i="1"/>
  <c r="AU100" i="1" s="1"/>
  <c r="AU99" i="1"/>
  <c r="BB100" i="1"/>
  <c r="BC100" i="1" s="1"/>
  <c r="BC99" i="1"/>
  <c r="BK99" i="1"/>
  <c r="BS99" i="1"/>
  <c r="CA99" i="1"/>
  <c r="CI99" i="1"/>
  <c r="CQ99" i="1"/>
  <c r="CY99" i="1"/>
  <c r="BR100" i="1"/>
  <c r="BS100" i="1" s="1"/>
  <c r="CC100" i="1"/>
  <c r="CX100" i="1"/>
  <c r="CY100" i="1" s="1"/>
  <c r="G102" i="1"/>
  <c r="F103" i="1"/>
  <c r="G103" i="1" s="1"/>
  <c r="L103" i="1"/>
  <c r="M103" i="1" s="1"/>
  <c r="M102" i="1"/>
  <c r="AG103" i="1"/>
  <c r="AM102" i="1"/>
  <c r="AL103" i="1"/>
  <c r="AM103" i="1" s="1"/>
  <c r="AR103" i="1"/>
  <c r="AS103" i="1" s="1"/>
  <c r="AS102" i="1"/>
  <c r="BM103" i="1"/>
  <c r="BS102" i="1"/>
  <c r="BR103" i="1"/>
  <c r="BS103" i="1" s="1"/>
  <c r="BX103" i="1"/>
  <c r="BY103" i="1" s="1"/>
  <c r="BY102" i="1"/>
  <c r="CS103" i="1"/>
  <c r="AE103" i="1"/>
  <c r="CQ103" i="1"/>
  <c r="DD95" i="1"/>
  <c r="I99" i="1"/>
  <c r="H100" i="1"/>
  <c r="I100" i="1" s="1"/>
  <c r="Q99" i="1"/>
  <c r="P100" i="1"/>
  <c r="Q100" i="1" s="1"/>
  <c r="Y99" i="1"/>
  <c r="X100" i="1"/>
  <c r="Y100" i="1" s="1"/>
  <c r="AG99" i="1"/>
  <c r="AF100" i="1"/>
  <c r="AG100" i="1" s="1"/>
  <c r="AO99" i="1"/>
  <c r="AN100" i="1"/>
  <c r="AO100" i="1" s="1"/>
  <c r="AW99" i="1"/>
  <c r="AV100" i="1"/>
  <c r="AW100" i="1" s="1"/>
  <c r="BE99" i="1"/>
  <c r="BD100" i="1"/>
  <c r="BE100" i="1" s="1"/>
  <c r="BM99" i="1"/>
  <c r="BU99" i="1"/>
  <c r="CC99" i="1"/>
  <c r="CK99" i="1"/>
  <c r="CS99" i="1"/>
  <c r="DA99" i="1"/>
  <c r="BJ100" i="1"/>
  <c r="BK100" i="1" s="1"/>
  <c r="BT100" i="1"/>
  <c r="BU100" i="1" s="1"/>
  <c r="CP100" i="1"/>
  <c r="CQ100" i="1" s="1"/>
  <c r="CZ100" i="1"/>
  <c r="DA100" i="1" s="1"/>
  <c r="O102" i="1"/>
  <c r="T103" i="1"/>
  <c r="U103" i="1" s="1"/>
  <c r="U102" i="1"/>
  <c r="AU102" i="1"/>
  <c r="AZ103" i="1"/>
  <c r="BA103" i="1" s="1"/>
  <c r="BA102" i="1"/>
  <c r="CA102" i="1"/>
  <c r="CF103" i="1"/>
  <c r="CG103" i="1" s="1"/>
  <c r="CG102" i="1"/>
  <c r="N103" i="1"/>
  <c r="O103" i="1" s="1"/>
  <c r="BZ103" i="1"/>
  <c r="CA103" i="1" s="1"/>
  <c r="I105" i="1"/>
  <c r="Q105" i="1"/>
  <c r="Y105" i="1"/>
  <c r="AG105" i="1"/>
  <c r="AO105" i="1"/>
  <c r="AW105" i="1"/>
  <c r="BE105" i="1"/>
  <c r="BM105" i="1"/>
  <c r="BU105" i="1"/>
  <c r="CC105" i="1"/>
  <c r="CK105" i="1"/>
  <c r="CS105" i="1"/>
  <c r="DA105" i="1"/>
  <c r="E95" i="1"/>
  <c r="M95" i="1"/>
  <c r="U95" i="1"/>
  <c r="AC95" i="1"/>
  <c r="AK95" i="1"/>
  <c r="AS95" i="1"/>
  <c r="J100" i="1"/>
  <c r="K100" i="1" s="1"/>
  <c r="K99" i="1"/>
  <c r="R100" i="1"/>
  <c r="S100" i="1" s="1"/>
  <c r="S99" i="1"/>
  <c r="Z100" i="1"/>
  <c r="AA100" i="1" s="1"/>
  <c r="AA99" i="1"/>
  <c r="AH100" i="1"/>
  <c r="AI100" i="1" s="1"/>
  <c r="AI99" i="1"/>
  <c r="AP100" i="1"/>
  <c r="AQ100" i="1" s="1"/>
  <c r="AQ99" i="1"/>
  <c r="AX100" i="1"/>
  <c r="AY100" i="1" s="1"/>
  <c r="AY99" i="1"/>
  <c r="BF100" i="1"/>
  <c r="BG100" i="1" s="1"/>
  <c r="BG99" i="1"/>
  <c r="BN100" i="1"/>
  <c r="BO100" i="1" s="1"/>
  <c r="BO99" i="1"/>
  <c r="BV100" i="1"/>
  <c r="BW100" i="1" s="1"/>
  <c r="BW99" i="1"/>
  <c r="CD100" i="1"/>
  <c r="CE100" i="1" s="1"/>
  <c r="CE99" i="1"/>
  <c r="CL100" i="1"/>
  <c r="CM100" i="1" s="1"/>
  <c r="CM99" i="1"/>
  <c r="CT100" i="1"/>
  <c r="CU100" i="1" s="1"/>
  <c r="CU99" i="1"/>
  <c r="DB100" i="1"/>
  <c r="DC100" i="1" s="1"/>
  <c r="DC99" i="1"/>
  <c r="BM100" i="1"/>
  <c r="CH100" i="1"/>
  <c r="CI100" i="1" s="1"/>
  <c r="CS100" i="1"/>
  <c r="Q103" i="1"/>
  <c r="W102" i="1"/>
  <c r="V103" i="1"/>
  <c r="W103" i="1" s="1"/>
  <c r="AB103" i="1"/>
  <c r="AC103" i="1" s="1"/>
  <c r="AC102" i="1"/>
  <c r="AW103" i="1"/>
  <c r="BC102" i="1"/>
  <c r="BB103" i="1"/>
  <c r="BC103" i="1" s="1"/>
  <c r="BH103" i="1"/>
  <c r="BI103" i="1" s="1"/>
  <c r="BI102" i="1"/>
  <c r="CC103" i="1"/>
  <c r="CI102" i="1"/>
  <c r="CO103" i="1"/>
  <c r="CV103" i="1"/>
  <c r="CW103" i="1" s="1"/>
  <c r="CW102" i="1"/>
  <c r="BK103" i="1"/>
  <c r="S102" i="1"/>
  <c r="AI102" i="1"/>
  <c r="AY102" i="1"/>
  <c r="BO102" i="1"/>
  <c r="CE102" i="1"/>
  <c r="CO102" i="1"/>
  <c r="CU102" i="1"/>
  <c r="R103" i="1"/>
  <c r="S103" i="1" s="1"/>
  <c r="AH103" i="1"/>
  <c r="AI103" i="1" s="1"/>
  <c r="AX103" i="1"/>
  <c r="AY103" i="1" s="1"/>
  <c r="BN103" i="1"/>
  <c r="BO103" i="1" s="1"/>
  <c r="CD103" i="1"/>
  <c r="CE103" i="1" s="1"/>
  <c r="CT103" i="1"/>
  <c r="CU103" i="1" s="1"/>
  <c r="G106" i="1"/>
  <c r="O106" i="1"/>
  <c r="W106" i="1"/>
  <c r="AE106" i="1"/>
  <c r="AM106" i="1"/>
  <c r="AU106" i="1"/>
  <c r="BC106" i="1"/>
  <c r="BK106" i="1"/>
  <c r="BS106" i="1"/>
  <c r="CA106" i="1"/>
  <c r="CI106" i="1"/>
  <c r="CQ106" i="1"/>
  <c r="CY106" i="1"/>
  <c r="G111" i="1"/>
  <c r="O111" i="1"/>
  <c r="W111" i="1"/>
  <c r="AE111" i="1"/>
  <c r="AM111" i="1"/>
  <c r="AU111" i="1"/>
  <c r="BC111" i="1"/>
  <c r="G109" i="1"/>
  <c r="O109" i="1"/>
  <c r="W109" i="1"/>
  <c r="AE109" i="1"/>
  <c r="AM109" i="1"/>
  <c r="AU109" i="1"/>
  <c r="BC109" i="1"/>
  <c r="BK109" i="1"/>
  <c r="BS111" i="1"/>
  <c r="CA109" i="1"/>
  <c r="CI111" i="1"/>
  <c r="CQ109" i="1"/>
  <c r="CY111" i="1"/>
  <c r="M114" i="1"/>
  <c r="DE105" i="1"/>
  <c r="H106" i="1"/>
  <c r="I106" i="1" s="1"/>
  <c r="P106" i="1"/>
  <c r="Q106" i="1" s="1"/>
  <c r="X106" i="1"/>
  <c r="Y106" i="1" s="1"/>
  <c r="AF106" i="1"/>
  <c r="AG106" i="1" s="1"/>
  <c r="AN106" i="1"/>
  <c r="AO106" i="1" s="1"/>
  <c r="AV106" i="1"/>
  <c r="AW106" i="1" s="1"/>
  <c r="BD106" i="1"/>
  <c r="BE106" i="1" s="1"/>
  <c r="BL106" i="1"/>
  <c r="BM106" i="1" s="1"/>
  <c r="BT106" i="1"/>
  <c r="BU106" i="1" s="1"/>
  <c r="CB106" i="1"/>
  <c r="CC106" i="1" s="1"/>
  <c r="CJ106" i="1"/>
  <c r="CK106" i="1" s="1"/>
  <c r="CR106" i="1"/>
  <c r="CS106" i="1" s="1"/>
  <c r="CZ106" i="1"/>
  <c r="DA106" i="1" s="1"/>
  <c r="H111" i="1"/>
  <c r="I111" i="1" s="1"/>
  <c r="I108" i="1"/>
  <c r="P111" i="1"/>
  <c r="Q111" i="1" s="1"/>
  <c r="Q108" i="1"/>
  <c r="X111" i="1"/>
  <c r="Y111" i="1" s="1"/>
  <c r="Y108" i="1"/>
  <c r="AF111" i="1"/>
  <c r="AG111" i="1" s="1"/>
  <c r="AG108" i="1"/>
  <c r="AN111" i="1"/>
  <c r="AO111" i="1" s="1"/>
  <c r="AO108" i="1"/>
  <c r="AV111" i="1"/>
  <c r="AW111" i="1" s="1"/>
  <c r="AW108" i="1"/>
  <c r="BD111" i="1"/>
  <c r="BE111" i="1" s="1"/>
  <c r="BE108" i="1"/>
  <c r="BL111" i="1"/>
  <c r="BM111" i="1" s="1"/>
  <c r="BM108" i="1"/>
  <c r="BT111" i="1"/>
  <c r="BU111" i="1" s="1"/>
  <c r="BU108" i="1"/>
  <c r="CB111" i="1"/>
  <c r="CC111" i="1" s="1"/>
  <c r="CC108" i="1"/>
  <c r="CJ111" i="1"/>
  <c r="CK111" i="1" s="1"/>
  <c r="CK108" i="1"/>
  <c r="CR111" i="1"/>
  <c r="CS111" i="1" s="1"/>
  <c r="CS108" i="1"/>
  <c r="CZ111" i="1"/>
  <c r="DA111" i="1" s="1"/>
  <c r="DA108" i="1"/>
  <c r="K102" i="1"/>
  <c r="AA102" i="1"/>
  <c r="AQ102" i="1"/>
  <c r="BG102" i="1"/>
  <c r="BW102" i="1"/>
  <c r="CM102" i="1"/>
  <c r="DC102" i="1"/>
  <c r="J103" i="1"/>
  <c r="K103" i="1" s="1"/>
  <c r="Z103" i="1"/>
  <c r="AA103" i="1" s="1"/>
  <c r="AP103" i="1"/>
  <c r="AQ103" i="1" s="1"/>
  <c r="BF103" i="1"/>
  <c r="BG103" i="1" s="1"/>
  <c r="BV103" i="1"/>
  <c r="BW103" i="1" s="1"/>
  <c r="CL103" i="1"/>
  <c r="CM103" i="1" s="1"/>
  <c r="DB103" i="1"/>
  <c r="DC103" i="1" s="1"/>
  <c r="E105" i="1"/>
  <c r="M105" i="1"/>
  <c r="U105" i="1"/>
  <c r="AC105" i="1"/>
  <c r="AK105" i="1"/>
  <c r="AS105" i="1"/>
  <c r="BA105" i="1"/>
  <c r="BI105" i="1"/>
  <c r="BQ105" i="1"/>
  <c r="BY105" i="1"/>
  <c r="CG105" i="1"/>
  <c r="CO105" i="1"/>
  <c r="CW105" i="1"/>
  <c r="K106" i="1"/>
  <c r="S106" i="1"/>
  <c r="AA106" i="1"/>
  <c r="AI106" i="1"/>
  <c r="AQ106" i="1"/>
  <c r="AY106" i="1"/>
  <c r="BG106" i="1"/>
  <c r="BO106" i="1"/>
  <c r="BW106" i="1"/>
  <c r="CE106" i="1"/>
  <c r="CM106" i="1"/>
  <c r="CU106" i="1"/>
  <c r="DC106" i="1"/>
  <c r="K111" i="1"/>
  <c r="S111" i="1"/>
  <c r="AA111" i="1"/>
  <c r="AI111" i="1"/>
  <c r="AQ111" i="1"/>
  <c r="AY111" i="1"/>
  <c r="K109" i="1"/>
  <c r="S109" i="1"/>
  <c r="AA109" i="1"/>
  <c r="AI109" i="1"/>
  <c r="AQ109" i="1"/>
  <c r="AY109" i="1"/>
  <c r="BG109" i="1"/>
  <c r="BO111" i="1"/>
  <c r="BW109" i="1"/>
  <c r="CE111" i="1"/>
  <c r="CM109" i="1"/>
  <c r="CU111" i="1"/>
  <c r="DC109" i="1"/>
  <c r="Y114" i="1"/>
  <c r="AO114" i="1"/>
  <c r="AW114" i="1"/>
  <c r="BE114" i="1"/>
  <c r="BU114" i="1"/>
  <c r="CC114" i="1"/>
  <c r="CY102" i="1"/>
  <c r="CH103" i="1"/>
  <c r="CI103" i="1" s="1"/>
  <c r="CX103" i="1"/>
  <c r="CY103" i="1" s="1"/>
  <c r="D106" i="1"/>
  <c r="E106" i="1" s="1"/>
  <c r="D111" i="1"/>
  <c r="E111" i="1" s="1"/>
  <c r="E108" i="1"/>
  <c r="DD108" i="1"/>
  <c r="L111" i="1"/>
  <c r="M111" i="1" s="1"/>
  <c r="M108" i="1"/>
  <c r="T111" i="1"/>
  <c r="U111" i="1" s="1"/>
  <c r="U108" i="1"/>
  <c r="AB111" i="1"/>
  <c r="AC111" i="1" s="1"/>
  <c r="AC108" i="1"/>
  <c r="AJ111" i="1"/>
  <c r="AK111" i="1" s="1"/>
  <c r="AK108" i="1"/>
  <c r="AR111" i="1"/>
  <c r="AS111" i="1" s="1"/>
  <c r="AS108" i="1"/>
  <c r="AZ111" i="1"/>
  <c r="BA111" i="1" s="1"/>
  <c r="BA108" i="1"/>
  <c r="BH111" i="1"/>
  <c r="BI111" i="1" s="1"/>
  <c r="BI108" i="1"/>
  <c r="BP111" i="1"/>
  <c r="BQ111" i="1" s="1"/>
  <c r="BQ108" i="1"/>
  <c r="BX111" i="1"/>
  <c r="BY111" i="1" s="1"/>
  <c r="BY108" i="1"/>
  <c r="CF111" i="1"/>
  <c r="CG111" i="1" s="1"/>
  <c r="CG108" i="1"/>
  <c r="CN111" i="1"/>
  <c r="CO111" i="1" s="1"/>
  <c r="CO108" i="1"/>
  <c r="CV111" i="1"/>
  <c r="CW111" i="1" s="1"/>
  <c r="CW108" i="1"/>
  <c r="DE109" i="1"/>
  <c r="DE110" i="1"/>
  <c r="G108" i="1"/>
  <c r="K108" i="1"/>
  <c r="O108" i="1"/>
  <c r="S108" i="1"/>
  <c r="W108" i="1"/>
  <c r="AA108" i="1"/>
  <c r="AE108" i="1"/>
  <c r="AI108" i="1"/>
  <c r="AM108" i="1"/>
  <c r="AQ108" i="1"/>
  <c r="AU108" i="1"/>
  <c r="AY108" i="1"/>
  <c r="BC108" i="1"/>
  <c r="BF111" i="1"/>
  <c r="BG111" i="1" s="1"/>
  <c r="BV111" i="1"/>
  <c r="BW111" i="1" s="1"/>
  <c r="CL111" i="1"/>
  <c r="CM111" i="1" s="1"/>
  <c r="DB111" i="1"/>
  <c r="DC111" i="1" s="1"/>
  <c r="K113" i="1"/>
  <c r="S113" i="1"/>
  <c r="AA113" i="1"/>
  <c r="AI113" i="1"/>
  <c r="AQ113" i="1"/>
  <c r="AY113" i="1"/>
  <c r="BG113" i="1"/>
  <c r="BO113" i="1"/>
  <c r="BW113" i="1"/>
  <c r="CE113" i="1"/>
  <c r="CM113" i="1"/>
  <c r="CU113" i="1"/>
  <c r="DC113" i="1"/>
  <c r="BJ111" i="1"/>
  <c r="BK111" i="1" s="1"/>
  <c r="BZ111" i="1"/>
  <c r="CA111" i="1" s="1"/>
  <c r="CP111" i="1"/>
  <c r="CQ111" i="1" s="1"/>
  <c r="DD113" i="1"/>
  <c r="D114" i="1"/>
  <c r="E114" i="1" s="1"/>
  <c r="E113" i="1"/>
  <c r="M113" i="1"/>
  <c r="T114" i="1"/>
  <c r="U114" i="1" s="1"/>
  <c r="U113" i="1"/>
  <c r="AB114" i="1"/>
  <c r="AC114" i="1" s="1"/>
  <c r="AC113" i="1"/>
  <c r="AJ114" i="1"/>
  <c r="AK114" i="1" s="1"/>
  <c r="AK113" i="1"/>
  <c r="AR114" i="1"/>
  <c r="AS114" i="1" s="1"/>
  <c r="AS113" i="1"/>
  <c r="AZ114" i="1"/>
  <c r="BA114" i="1" s="1"/>
  <c r="BA113" i="1"/>
  <c r="BH114" i="1"/>
  <c r="BI114" i="1" s="1"/>
  <c r="BI113" i="1"/>
  <c r="BP114" i="1"/>
  <c r="BQ114" i="1" s="1"/>
  <c r="BQ113" i="1"/>
  <c r="BX114" i="1"/>
  <c r="BY114" i="1" s="1"/>
  <c r="BY113" i="1"/>
  <c r="CF114" i="1"/>
  <c r="CG114" i="1" s="1"/>
  <c r="CG113" i="1"/>
  <c r="CN114" i="1"/>
  <c r="CO114" i="1" s="1"/>
  <c r="CO113" i="1"/>
  <c r="CV114" i="1"/>
  <c r="CW114" i="1" s="1"/>
  <c r="CW113" i="1"/>
  <c r="S114" i="1"/>
  <c r="BO109" i="1"/>
  <c r="BS109" i="1"/>
  <c r="CE109" i="1"/>
  <c r="CI109" i="1"/>
  <c r="CU109" i="1"/>
  <c r="CY109" i="1"/>
  <c r="O113" i="1"/>
  <c r="W114" i="1"/>
  <c r="AE114" i="1"/>
  <c r="AM114" i="1"/>
  <c r="AU114" i="1"/>
  <c r="BC114" i="1"/>
  <c r="BK114" i="1"/>
  <c r="BS114" i="1"/>
  <c r="CA114" i="1"/>
  <c r="CI114" i="1"/>
  <c r="CQ114" i="1"/>
  <c r="CY114" i="1"/>
  <c r="H114" i="1"/>
  <c r="I114" i="1" s="1"/>
  <c r="I113" i="1"/>
  <c r="P114" i="1"/>
  <c r="Q114" i="1" s="1"/>
  <c r="Q113" i="1"/>
  <c r="Y113" i="1"/>
  <c r="AG113" i="1"/>
  <c r="AO113" i="1"/>
  <c r="AW113" i="1"/>
  <c r="BE113" i="1"/>
  <c r="BM113" i="1"/>
  <c r="BU113" i="1"/>
  <c r="CC113" i="1"/>
  <c r="CJ114" i="1"/>
  <c r="CK114" i="1" s="1"/>
  <c r="CK113" i="1"/>
  <c r="CR114" i="1"/>
  <c r="CS114" i="1" s="1"/>
  <c r="CS113" i="1"/>
  <c r="CZ114" i="1"/>
  <c r="DA114" i="1" s="1"/>
  <c r="DA113" i="1"/>
  <c r="AF114" i="1"/>
  <c r="AG114" i="1" s="1"/>
  <c r="BL114" i="1"/>
  <c r="BM114" i="1" s="1"/>
  <c r="N114" i="1"/>
  <c r="O114" i="1" s="1"/>
  <c r="Z114" i="1"/>
  <c r="AA114" i="1" s="1"/>
  <c r="AH114" i="1"/>
  <c r="AI114" i="1" s="1"/>
  <c r="AP114" i="1"/>
  <c r="AQ114" i="1" s="1"/>
  <c r="AX114" i="1"/>
  <c r="AY114" i="1" s="1"/>
  <c r="BF114" i="1"/>
  <c r="BG114" i="1" s="1"/>
  <c r="BN114" i="1"/>
  <c r="BO114" i="1" s="1"/>
  <c r="BV114" i="1"/>
  <c r="BW114" i="1" s="1"/>
  <c r="CD114" i="1"/>
  <c r="CE114" i="1" s="1"/>
  <c r="CL114" i="1"/>
  <c r="CM114" i="1" s="1"/>
  <c r="CT114" i="1"/>
  <c r="CU114" i="1" s="1"/>
  <c r="DB114" i="1"/>
  <c r="DC114" i="1" s="1"/>
  <c r="I116" i="1"/>
  <c r="H117" i="1"/>
  <c r="I117" i="1" s="1"/>
  <c r="Q116" i="1"/>
  <c r="P117" i="1"/>
  <c r="Q117" i="1" s="1"/>
  <c r="Y116" i="1"/>
  <c r="X117" i="1"/>
  <c r="Y117" i="1" s="1"/>
  <c r="AG116" i="1"/>
  <c r="AF117" i="1"/>
  <c r="AG117" i="1" s="1"/>
  <c r="AO116" i="1"/>
  <c r="AN117" i="1"/>
  <c r="AO117" i="1" s="1"/>
  <c r="AW116" i="1"/>
  <c r="AV117" i="1"/>
  <c r="AW117" i="1" s="1"/>
  <c r="BE116" i="1"/>
  <c r="BD117" i="1"/>
  <c r="BE117" i="1" s="1"/>
  <c r="BM116" i="1"/>
  <c r="BL117" i="1"/>
  <c r="BM117" i="1" s="1"/>
  <c r="BU116" i="1"/>
  <c r="BT117" i="1"/>
  <c r="BU117" i="1" s="1"/>
  <c r="CC116" i="1"/>
  <c r="CB117" i="1"/>
  <c r="CC117" i="1" s="1"/>
  <c r="CK116" i="1"/>
  <c r="CJ117" i="1"/>
  <c r="CK117" i="1" s="1"/>
  <c r="CS116" i="1"/>
  <c r="CR117" i="1"/>
  <c r="CS117" i="1" s="1"/>
  <c r="DA116" i="1"/>
  <c r="CZ117" i="1"/>
  <c r="DA117" i="1" s="1"/>
  <c r="E120" i="1"/>
  <c r="M120" i="1"/>
  <c r="U120" i="1"/>
  <c r="AC120" i="1"/>
  <c r="AK120" i="1"/>
  <c r="AS120" i="1"/>
  <c r="BA120" i="1"/>
  <c r="BI120" i="1"/>
  <c r="BQ120" i="1"/>
  <c r="BY120" i="1"/>
  <c r="CG120" i="1"/>
  <c r="CO120" i="1"/>
  <c r="CW120" i="1"/>
  <c r="J114" i="1"/>
  <c r="K114" i="1" s="1"/>
  <c r="J117" i="1"/>
  <c r="K117" i="1" s="1"/>
  <c r="K116" i="1"/>
  <c r="R117" i="1"/>
  <c r="S117" i="1" s="1"/>
  <c r="S116" i="1"/>
  <c r="Z117" i="1"/>
  <c r="AA117" i="1" s="1"/>
  <c r="AA116" i="1"/>
  <c r="AH117" i="1"/>
  <c r="AI117" i="1" s="1"/>
  <c r="AI116" i="1"/>
  <c r="AP117" i="1"/>
  <c r="AQ117" i="1" s="1"/>
  <c r="AQ116" i="1"/>
  <c r="AX117" i="1"/>
  <c r="AY117" i="1" s="1"/>
  <c r="AY116" i="1"/>
  <c r="BF117" i="1"/>
  <c r="BG117" i="1" s="1"/>
  <c r="BG116" i="1"/>
  <c r="BN117" i="1"/>
  <c r="BO117" i="1" s="1"/>
  <c r="BO116" i="1"/>
  <c r="BV117" i="1"/>
  <c r="BW117" i="1" s="1"/>
  <c r="BW116" i="1"/>
  <c r="CD117" i="1"/>
  <c r="CE117" i="1" s="1"/>
  <c r="CE116" i="1"/>
  <c r="CL117" i="1"/>
  <c r="CM117" i="1" s="1"/>
  <c r="CM116" i="1"/>
  <c r="CT117" i="1"/>
  <c r="CU117" i="1" s="1"/>
  <c r="CU116" i="1"/>
  <c r="DB117" i="1"/>
  <c r="DC117" i="1" s="1"/>
  <c r="DC116" i="1"/>
  <c r="G120" i="1"/>
  <c r="O120" i="1"/>
  <c r="W120" i="1"/>
  <c r="AE120" i="1"/>
  <c r="AM120" i="1"/>
  <c r="AU120" i="1"/>
  <c r="BC120" i="1"/>
  <c r="BK120" i="1"/>
  <c r="BS120" i="1"/>
  <c r="CA120" i="1"/>
  <c r="CI120" i="1"/>
  <c r="CQ120" i="1"/>
  <c r="CY120" i="1"/>
  <c r="G113" i="1"/>
  <c r="W113" i="1"/>
  <c r="AE113" i="1"/>
  <c r="AM113" i="1"/>
  <c r="AU113" i="1"/>
  <c r="BC113" i="1"/>
  <c r="BK113" i="1"/>
  <c r="BS113" i="1"/>
  <c r="CA113" i="1"/>
  <c r="CI113" i="1"/>
  <c r="CQ113" i="1"/>
  <c r="CY113" i="1"/>
  <c r="E116" i="1"/>
  <c r="D117" i="1"/>
  <c r="E117" i="1" s="1"/>
  <c r="M116" i="1"/>
  <c r="L117" i="1"/>
  <c r="M117" i="1" s="1"/>
  <c r="U116" i="1"/>
  <c r="T117" i="1"/>
  <c r="U117" i="1" s="1"/>
  <c r="AC116" i="1"/>
  <c r="AB117" i="1"/>
  <c r="AC117" i="1" s="1"/>
  <c r="AK116" i="1"/>
  <c r="AJ117" i="1"/>
  <c r="AK117" i="1" s="1"/>
  <c r="AS116" i="1"/>
  <c r="AR117" i="1"/>
  <c r="AS117" i="1" s="1"/>
  <c r="BA116" i="1"/>
  <c r="AZ117" i="1"/>
  <c r="BA117" i="1" s="1"/>
  <c r="BI116" i="1"/>
  <c r="BH117" i="1"/>
  <c r="BI117" i="1" s="1"/>
  <c r="BQ116" i="1"/>
  <c r="BP117" i="1"/>
  <c r="BQ117" i="1" s="1"/>
  <c r="BY116" i="1"/>
  <c r="BX117" i="1"/>
  <c r="BY117" i="1" s="1"/>
  <c r="CG116" i="1"/>
  <c r="CF117" i="1"/>
  <c r="CG117" i="1" s="1"/>
  <c r="CO116" i="1"/>
  <c r="CN117" i="1"/>
  <c r="CO117" i="1" s="1"/>
  <c r="CW116" i="1"/>
  <c r="CV117" i="1"/>
  <c r="CW117" i="1" s="1"/>
  <c r="DD116" i="1"/>
  <c r="I120" i="1"/>
  <c r="Q120" i="1"/>
  <c r="Y120" i="1"/>
  <c r="AG120" i="1"/>
  <c r="AO120" i="1"/>
  <c r="AW120" i="1"/>
  <c r="BE120" i="1"/>
  <c r="BM120" i="1"/>
  <c r="BU120" i="1"/>
  <c r="CC120" i="1"/>
  <c r="CK120" i="1"/>
  <c r="CS120" i="1"/>
  <c r="DA120" i="1"/>
  <c r="F117" i="1"/>
  <c r="G117" i="1" s="1"/>
  <c r="G116" i="1"/>
  <c r="N117" i="1"/>
  <c r="O117" i="1" s="1"/>
  <c r="O116" i="1"/>
  <c r="V117" i="1"/>
  <c r="W117" i="1" s="1"/>
  <c r="W116" i="1"/>
  <c r="AD117" i="1"/>
  <c r="AE117" i="1" s="1"/>
  <c r="AE116" i="1"/>
  <c r="AL117" i="1"/>
  <c r="AM117" i="1" s="1"/>
  <c r="AM116" i="1"/>
  <c r="AT117" i="1"/>
  <c r="AU117" i="1" s="1"/>
  <c r="AU116" i="1"/>
  <c r="BB117" i="1"/>
  <c r="BC117" i="1" s="1"/>
  <c r="BC116" i="1"/>
  <c r="BJ117" i="1"/>
  <c r="BK117" i="1" s="1"/>
  <c r="BK116" i="1"/>
  <c r="BR117" i="1"/>
  <c r="BS117" i="1" s="1"/>
  <c r="BS116" i="1"/>
  <c r="BZ117" i="1"/>
  <c r="CA117" i="1" s="1"/>
  <c r="CA116" i="1"/>
  <c r="CH117" i="1"/>
  <c r="CI117" i="1" s="1"/>
  <c r="CI116" i="1"/>
  <c r="CP117" i="1"/>
  <c r="CQ117" i="1" s="1"/>
  <c r="CQ116" i="1"/>
  <c r="CX117" i="1"/>
  <c r="CY117" i="1" s="1"/>
  <c r="CY116" i="1"/>
  <c r="DE119" i="1"/>
  <c r="DD120" i="1"/>
  <c r="DE120" i="1" s="1"/>
  <c r="K120" i="1"/>
  <c r="S120" i="1"/>
  <c r="AA120" i="1"/>
  <c r="AI120" i="1"/>
  <c r="AQ120" i="1"/>
  <c r="AY120" i="1"/>
  <c r="BG120" i="1"/>
  <c r="BO120" i="1"/>
  <c r="BW120" i="1"/>
  <c r="CE120" i="1"/>
  <c r="CM120" i="1"/>
  <c r="CU120" i="1"/>
  <c r="DC120" i="1"/>
  <c r="E43" i="2"/>
  <c r="E31" i="2"/>
  <c r="E47" i="2"/>
  <c r="E37" i="2"/>
  <c r="D52" i="2"/>
  <c r="E19" i="3"/>
  <c r="E83" i="2"/>
  <c r="D52" i="3"/>
  <c r="E61" i="2"/>
  <c r="E15" i="2"/>
  <c r="D21" i="2"/>
  <c r="E21" i="2" s="1"/>
  <c r="E25" i="2"/>
  <c r="D33" i="2"/>
  <c r="E39" i="2" s="1"/>
  <c r="E35" i="2"/>
  <c r="E17" i="2"/>
  <c r="E63" i="2"/>
  <c r="D21" i="3"/>
  <c r="E21" i="3" s="1"/>
  <c r="E15" i="3"/>
  <c r="D55" i="3"/>
  <c r="E55" i="3" s="1"/>
  <c r="D79" i="2"/>
  <c r="E79" i="2" s="1"/>
  <c r="E93" i="2"/>
  <c r="E13" i="3"/>
  <c r="G17" i="3"/>
  <c r="G21" i="3"/>
  <c r="G23" i="3"/>
  <c r="G28" i="3"/>
  <c r="G29" i="3"/>
  <c r="G33" i="3"/>
  <c r="G35" i="3"/>
  <c r="G36" i="3"/>
  <c r="G37" i="3"/>
  <c r="G41" i="3"/>
  <c r="G43" i="3"/>
  <c r="G49" i="3"/>
  <c r="G55" i="3"/>
  <c r="G63" i="3"/>
  <c r="G65" i="3"/>
  <c r="G71" i="3"/>
  <c r="G73" i="3"/>
  <c r="E79" i="3"/>
  <c r="E81" i="3"/>
  <c r="G94" i="3"/>
  <c r="E77" i="4"/>
  <c r="E11" i="4"/>
  <c r="D15" i="4"/>
  <c r="E17" i="4" s="1"/>
  <c r="E23" i="4"/>
  <c r="E31" i="4"/>
  <c r="G45" i="4"/>
  <c r="G47" i="4"/>
  <c r="G52" i="4"/>
  <c r="G61" i="4"/>
  <c r="E65" i="4"/>
  <c r="G71" i="4"/>
  <c r="E94" i="4"/>
  <c r="E65" i="2"/>
  <c r="G69" i="2"/>
  <c r="G71" i="2"/>
  <c r="E73" i="2"/>
  <c r="G81" i="2"/>
  <c r="G83" i="2"/>
  <c r="E85" i="2"/>
  <c r="G89" i="2"/>
  <c r="E94" i="2"/>
  <c r="E96" i="2"/>
  <c r="D25" i="3"/>
  <c r="E35" i="3" s="1"/>
  <c r="D31" i="3"/>
  <c r="E31" i="3" s="1"/>
  <c r="E61" i="3"/>
  <c r="E69" i="3"/>
  <c r="G79" i="3"/>
  <c r="G81" i="3"/>
  <c r="G87" i="3"/>
  <c r="G75" i="4"/>
  <c r="G73" i="4"/>
  <c r="G11" i="4"/>
  <c r="G77" i="4"/>
  <c r="G15" i="4"/>
  <c r="G17" i="4"/>
  <c r="G21" i="4"/>
  <c r="G23" i="4"/>
  <c r="G28" i="4"/>
  <c r="G29" i="4"/>
  <c r="G39" i="4"/>
  <c r="D49" i="4"/>
  <c r="G63" i="4"/>
  <c r="G65" i="4"/>
  <c r="E79" i="4"/>
  <c r="E83" i="4"/>
  <c r="G87" i="4"/>
  <c r="E93" i="4"/>
  <c r="G94" i="4"/>
  <c r="G73" i="2"/>
  <c r="G87" i="2"/>
  <c r="G77" i="3"/>
  <c r="G11" i="3"/>
  <c r="G19" i="3"/>
  <c r="G25" i="3"/>
  <c r="G26" i="3"/>
  <c r="G31" i="3"/>
  <c r="G39" i="3"/>
  <c r="G45" i="3"/>
  <c r="G47" i="3"/>
  <c r="G52" i="3"/>
  <c r="G56" i="3"/>
  <c r="G61" i="3"/>
  <c r="G67" i="3"/>
  <c r="G69" i="3"/>
  <c r="E83" i="3"/>
  <c r="E85" i="3"/>
  <c r="E93" i="3"/>
  <c r="E94" i="3"/>
  <c r="E96" i="3"/>
  <c r="D33" i="4"/>
  <c r="E25" i="4"/>
  <c r="E26" i="4"/>
  <c r="G31" i="4"/>
  <c r="E35" i="4"/>
  <c r="E36" i="4"/>
  <c r="E37" i="4"/>
  <c r="G49" i="4"/>
  <c r="G55" i="4"/>
  <c r="E67" i="4"/>
  <c r="E71" i="4"/>
  <c r="G79" i="4"/>
  <c r="G81" i="4"/>
  <c r="E85" i="4"/>
  <c r="G93" i="4"/>
  <c r="E96" i="4"/>
  <c r="E23" i="2"/>
  <c r="G26" i="2"/>
  <c r="G28" i="2"/>
  <c r="E29" i="2"/>
  <c r="G49" i="2"/>
  <c r="G55" i="2"/>
  <c r="G56" i="2"/>
  <c r="G65" i="2"/>
  <c r="G67" i="2"/>
  <c r="E69" i="2"/>
  <c r="G77" i="2"/>
  <c r="G79" i="2"/>
  <c r="G85" i="2"/>
  <c r="G94" i="2"/>
  <c r="E17" i="3"/>
  <c r="E63" i="3"/>
  <c r="E65" i="3"/>
  <c r="E71" i="3"/>
  <c r="D75" i="3"/>
  <c r="E75" i="3" s="1"/>
  <c r="E73" i="3"/>
  <c r="G75" i="3"/>
  <c r="G83" i="3"/>
  <c r="G85" i="3"/>
  <c r="F89" i="3"/>
  <c r="G89" i="3" s="1"/>
  <c r="G93" i="3"/>
  <c r="G35" i="4"/>
  <c r="G41" i="4"/>
  <c r="G67" i="4"/>
  <c r="G69" i="4"/>
  <c r="E73" i="4"/>
  <c r="D75" i="4"/>
  <c r="E75" i="4" s="1"/>
  <c r="F89" i="4"/>
  <c r="G89" i="4" s="1"/>
  <c r="G83" i="4"/>
  <c r="G85" i="4"/>
  <c r="G96" i="4"/>
  <c r="E29" i="4"/>
  <c r="E43" i="4"/>
  <c r="G56" i="4"/>
  <c r="E69" i="4"/>
  <c r="E81" i="4"/>
  <c r="E36" i="3" l="1"/>
  <c r="E61" i="4"/>
  <c r="E63" i="4"/>
  <c r="E55" i="2"/>
  <c r="D56" i="2"/>
  <c r="E56" i="2" s="1"/>
  <c r="F98" i="4"/>
  <c r="G98" i="4" s="1"/>
  <c r="F98" i="3"/>
  <c r="G98" i="3" s="1"/>
  <c r="DD68" i="1"/>
  <c r="DE68" i="1" s="1"/>
  <c r="CI40" i="1"/>
  <c r="CH56" i="1"/>
  <c r="BB56" i="1"/>
  <c r="W40" i="1"/>
  <c r="V56" i="1"/>
  <c r="CN56" i="1"/>
  <c r="BH56" i="1"/>
  <c r="AB56" i="1"/>
  <c r="CD56" i="1"/>
  <c r="AX56" i="1"/>
  <c r="R56" i="1"/>
  <c r="CJ56" i="1"/>
  <c r="BD56" i="1"/>
  <c r="X56" i="1"/>
  <c r="DC48" i="1"/>
  <c r="DC31" i="1"/>
  <c r="CM48" i="1"/>
  <c r="CM31" i="1"/>
  <c r="BW48" i="1"/>
  <c r="BW31" i="1"/>
  <c r="BL42" i="1"/>
  <c r="BM42" i="1" s="1"/>
  <c r="BM33" i="1"/>
  <c r="AV42" i="1"/>
  <c r="AW42" i="1" s="1"/>
  <c r="AW33" i="1"/>
  <c r="AF42" i="1"/>
  <c r="AG42" i="1" s="1"/>
  <c r="AG33" i="1"/>
  <c r="P42" i="1"/>
  <c r="Q42" i="1" s="1"/>
  <c r="Q33" i="1"/>
  <c r="CH33" i="1"/>
  <c r="CI53" i="1" s="1"/>
  <c r="CI25" i="1"/>
  <c r="BB33" i="1"/>
  <c r="BC53" i="1" s="1"/>
  <c r="BC25" i="1"/>
  <c r="V33" i="1"/>
  <c r="W53" i="1" s="1"/>
  <c r="W25" i="1"/>
  <c r="CO25" i="1"/>
  <c r="CN33" i="1"/>
  <c r="CO40" i="1" s="1"/>
  <c r="BI25" i="1"/>
  <c r="BH33" i="1"/>
  <c r="BI40" i="1" s="1"/>
  <c r="AC25" i="1"/>
  <c r="AB33" i="1"/>
  <c r="BG48" i="1"/>
  <c r="BG31" i="1"/>
  <c r="AQ48" i="1"/>
  <c r="AQ31" i="1"/>
  <c r="AA48" i="1"/>
  <c r="AA31" i="1"/>
  <c r="K48" i="1"/>
  <c r="K31" i="1"/>
  <c r="BN33" i="1"/>
  <c r="AX33" i="1"/>
  <c r="AY40" i="1" s="1"/>
  <c r="AH33" i="1"/>
  <c r="R33" i="1"/>
  <c r="DB21" i="1"/>
  <c r="DC21" i="1" s="1"/>
  <c r="DC17" i="1"/>
  <c r="DC15" i="1"/>
  <c r="CL21" i="1"/>
  <c r="CM21" i="1" s="1"/>
  <c r="CM17" i="1"/>
  <c r="CM15" i="1"/>
  <c r="BV21" i="1"/>
  <c r="BW21" i="1" s="1"/>
  <c r="BW17" i="1"/>
  <c r="BW15" i="1"/>
  <c r="BF21" i="1"/>
  <c r="BG21" i="1" s="1"/>
  <c r="BG17" i="1"/>
  <c r="BG15" i="1"/>
  <c r="AP21" i="1"/>
  <c r="AQ21" i="1" s="1"/>
  <c r="AQ17" i="1"/>
  <c r="AQ15" i="1"/>
  <c r="Z21" i="1"/>
  <c r="AA21" i="1" s="1"/>
  <c r="AA17" i="1"/>
  <c r="AA15" i="1"/>
  <c r="J21" i="1"/>
  <c r="K21" i="1" s="1"/>
  <c r="K17" i="1"/>
  <c r="K15" i="1"/>
  <c r="E21" i="1"/>
  <c r="DD19" i="1"/>
  <c r="CF21" i="1"/>
  <c r="CG21" i="1" s="1"/>
  <c r="DE116" i="1"/>
  <c r="DD117" i="1"/>
  <c r="DE117" i="1" s="1"/>
  <c r="DD97" i="1"/>
  <c r="DE95" i="1"/>
  <c r="CT122" i="1"/>
  <c r="CU122" i="1" s="1"/>
  <c r="CU97" i="1"/>
  <c r="BN122" i="1"/>
  <c r="BO122" i="1" s="1"/>
  <c r="BO97" i="1"/>
  <c r="AH122" i="1"/>
  <c r="AI122" i="1" s="1"/>
  <c r="AI97" i="1"/>
  <c r="BY85" i="1"/>
  <c r="BX91" i="1"/>
  <c r="BY91" i="1" s="1"/>
  <c r="BI85" i="1"/>
  <c r="BH91" i="1"/>
  <c r="BI91" i="1" s="1"/>
  <c r="AC85" i="1"/>
  <c r="AB91" i="1"/>
  <c r="AC91" i="1" s="1"/>
  <c r="DD77" i="1"/>
  <c r="DE77" i="1" s="1"/>
  <c r="E77" i="1"/>
  <c r="E33" i="4"/>
  <c r="D41" i="4"/>
  <c r="E41" i="4" s="1"/>
  <c r="E25" i="3"/>
  <c r="D33" i="3"/>
  <c r="E52" i="3" s="1"/>
  <c r="E45" i="2"/>
  <c r="AN122" i="1"/>
  <c r="AO122" i="1" s="1"/>
  <c r="AO97" i="1"/>
  <c r="H122" i="1"/>
  <c r="I122" i="1" s="1"/>
  <c r="I97" i="1"/>
  <c r="CZ122" i="1"/>
  <c r="DA122" i="1" s="1"/>
  <c r="CJ122" i="1"/>
  <c r="CK122" i="1" s="1"/>
  <c r="BT122" i="1"/>
  <c r="BU122" i="1" s="1"/>
  <c r="BD122" i="1"/>
  <c r="BE122" i="1" s="1"/>
  <c r="CP122" i="1"/>
  <c r="CQ122" i="1" s="1"/>
  <c r="CQ97" i="1"/>
  <c r="BZ122" i="1"/>
  <c r="CA122" i="1" s="1"/>
  <c r="CA97" i="1"/>
  <c r="BJ122" i="1"/>
  <c r="BK122" i="1" s="1"/>
  <c r="BK97" i="1"/>
  <c r="AT122" i="1"/>
  <c r="AU122" i="1" s="1"/>
  <c r="AU97" i="1"/>
  <c r="AD122" i="1"/>
  <c r="AE122" i="1" s="1"/>
  <c r="AE97" i="1"/>
  <c r="N122" i="1"/>
  <c r="O122" i="1" s="1"/>
  <c r="O97" i="1"/>
  <c r="CV122" i="1"/>
  <c r="CW122" i="1" s="1"/>
  <c r="CF122" i="1"/>
  <c r="CG122" i="1" s="1"/>
  <c r="BP122" i="1"/>
  <c r="BQ122" i="1" s="1"/>
  <c r="AZ122" i="1"/>
  <c r="BA122" i="1" s="1"/>
  <c r="AJ122" i="1"/>
  <c r="AK122" i="1" s="1"/>
  <c r="T122" i="1"/>
  <c r="U122" i="1" s="1"/>
  <c r="D122" i="1"/>
  <c r="E122" i="1" s="1"/>
  <c r="CZ91" i="1"/>
  <c r="DA91" i="1" s="1"/>
  <c r="DA85" i="1"/>
  <c r="CJ91" i="1"/>
  <c r="CK91" i="1" s="1"/>
  <c r="CK85" i="1"/>
  <c r="BT91" i="1"/>
  <c r="BU91" i="1" s="1"/>
  <c r="BU85" i="1"/>
  <c r="BD91" i="1"/>
  <c r="BE91" i="1" s="1"/>
  <c r="BE85" i="1"/>
  <c r="AN91" i="1"/>
  <c r="AO91" i="1" s="1"/>
  <c r="AO85" i="1"/>
  <c r="X91" i="1"/>
  <c r="Y91" i="1" s="1"/>
  <c r="Y85" i="1"/>
  <c r="H91" i="1"/>
  <c r="I91" i="1" s="1"/>
  <c r="I85" i="1"/>
  <c r="CP91" i="1"/>
  <c r="CQ91" i="1" s="1"/>
  <c r="BZ91" i="1"/>
  <c r="CA91" i="1" s="1"/>
  <c r="BJ91" i="1"/>
  <c r="BK91" i="1" s="1"/>
  <c r="AT91" i="1"/>
  <c r="AU91" i="1" s="1"/>
  <c r="AD91" i="1"/>
  <c r="AE91" i="1" s="1"/>
  <c r="N91" i="1"/>
  <c r="O91" i="1" s="1"/>
  <c r="CG50" i="1"/>
  <c r="BA50" i="1"/>
  <c r="U50" i="1"/>
  <c r="DD50" i="1"/>
  <c r="CN53" i="1"/>
  <c r="CO53" i="1" s="1"/>
  <c r="CO46" i="1"/>
  <c r="BX53" i="1"/>
  <c r="BH53" i="1"/>
  <c r="BI53" i="1" s="1"/>
  <c r="BI46" i="1"/>
  <c r="AR53" i="1"/>
  <c r="AB53" i="1"/>
  <c r="AC53" i="1" s="1"/>
  <c r="AC46" i="1"/>
  <c r="L53" i="1"/>
  <c r="BZ56" i="1"/>
  <c r="AT56" i="1"/>
  <c r="N56" i="1"/>
  <c r="CF56" i="1"/>
  <c r="CG40" i="1"/>
  <c r="AZ56" i="1"/>
  <c r="T56" i="1"/>
  <c r="U40" i="1"/>
  <c r="CS46" i="1"/>
  <c r="CR53" i="1"/>
  <c r="CS53" i="1" s="1"/>
  <c r="CC46" i="1"/>
  <c r="CB53" i="1"/>
  <c r="CC53" i="1" s="1"/>
  <c r="BM46" i="1"/>
  <c r="BL53" i="1"/>
  <c r="BM53" i="1" s="1"/>
  <c r="AW46" i="1"/>
  <c r="AV53" i="1"/>
  <c r="AW53" i="1" s="1"/>
  <c r="AG46" i="1"/>
  <c r="AF53" i="1"/>
  <c r="AG53" i="1" s="1"/>
  <c r="Q46" i="1"/>
  <c r="P53" i="1"/>
  <c r="Q53" i="1" s="1"/>
  <c r="DB56" i="1"/>
  <c r="BV56" i="1"/>
  <c r="AP56" i="1"/>
  <c r="AQ40" i="1"/>
  <c r="J56" i="1"/>
  <c r="K40" i="1"/>
  <c r="CB56" i="1"/>
  <c r="CC40" i="1"/>
  <c r="AV56" i="1"/>
  <c r="AW40" i="1"/>
  <c r="Q40" i="1"/>
  <c r="P56" i="1"/>
  <c r="CM38" i="1"/>
  <c r="CY48" i="1"/>
  <c r="CY31" i="1"/>
  <c r="CI48" i="1"/>
  <c r="CI31" i="1"/>
  <c r="CS33" i="1"/>
  <c r="CR42" i="1"/>
  <c r="CS42" i="1" s="1"/>
  <c r="CC33" i="1"/>
  <c r="CB42" i="1"/>
  <c r="CC42" i="1" s="1"/>
  <c r="BK48" i="1"/>
  <c r="BK31" i="1"/>
  <c r="AU48" i="1"/>
  <c r="AU31" i="1"/>
  <c r="AE48" i="1"/>
  <c r="AE31" i="1"/>
  <c r="O48" i="1"/>
  <c r="O31" i="1"/>
  <c r="BZ33" i="1"/>
  <c r="CA40" i="1" s="1"/>
  <c r="CA25" i="1"/>
  <c r="AT33" i="1"/>
  <c r="AU40" i="1" s="1"/>
  <c r="AU25" i="1"/>
  <c r="N33" i="1"/>
  <c r="O40" i="1" s="1"/>
  <c r="O25" i="1"/>
  <c r="CG25" i="1"/>
  <c r="CF33" i="1"/>
  <c r="BA25" i="1"/>
  <c r="AZ33" i="1"/>
  <c r="BA40" i="1" s="1"/>
  <c r="U25" i="1"/>
  <c r="T33" i="1"/>
  <c r="DB33" i="1"/>
  <c r="DC40" i="1" s="1"/>
  <c r="CL33" i="1"/>
  <c r="BG19" i="1"/>
  <c r="CY15" i="1"/>
  <c r="CX21" i="1"/>
  <c r="CY21" i="1" s="1"/>
  <c r="CI15" i="1"/>
  <c r="CH21" i="1"/>
  <c r="CI21" i="1" s="1"/>
  <c r="BS15" i="1"/>
  <c r="BR21" i="1"/>
  <c r="BS21" i="1" s="1"/>
  <c r="BC17" i="1"/>
  <c r="BC15" i="1"/>
  <c r="BB21" i="1"/>
  <c r="BC21" i="1" s="1"/>
  <c r="AM17" i="1"/>
  <c r="AM15" i="1"/>
  <c r="AL21" i="1"/>
  <c r="AM21" i="1" s="1"/>
  <c r="W17" i="1"/>
  <c r="W15" i="1"/>
  <c r="V21" i="1"/>
  <c r="W21" i="1" s="1"/>
  <c r="G17" i="1"/>
  <c r="G15" i="1"/>
  <c r="F21" i="1"/>
  <c r="G21" i="1" s="1"/>
  <c r="BP21" i="1"/>
  <c r="BQ21" i="1" s="1"/>
  <c r="CM19" i="1"/>
  <c r="CI17" i="1"/>
  <c r="D89" i="2"/>
  <c r="E89" i="2" s="1"/>
  <c r="DD103" i="1"/>
  <c r="DE103" i="1" s="1"/>
  <c r="DE102" i="1"/>
  <c r="E49" i="4"/>
  <c r="D52" i="4"/>
  <c r="E52" i="4" s="1"/>
  <c r="E49" i="2"/>
  <c r="E37" i="3"/>
  <c r="D89" i="4"/>
  <c r="E89" i="4" s="1"/>
  <c r="E45" i="4"/>
  <c r="E19" i="4"/>
  <c r="D89" i="3"/>
  <c r="E89" i="3" s="1"/>
  <c r="D56" i="3"/>
  <c r="D55" i="4"/>
  <c r="DD114" i="1"/>
  <c r="DE114" i="1" s="1"/>
  <c r="DE113" i="1"/>
  <c r="DD111" i="1"/>
  <c r="DE111" i="1" s="1"/>
  <c r="DE108" i="1"/>
  <c r="AF122" i="1"/>
  <c r="AG122" i="1" s="1"/>
  <c r="AG97" i="1"/>
  <c r="DB122" i="1"/>
  <c r="DC122" i="1" s="1"/>
  <c r="DC97" i="1"/>
  <c r="CL122" i="1"/>
  <c r="CM122" i="1" s="1"/>
  <c r="CM97" i="1"/>
  <c r="BV122" i="1"/>
  <c r="BW122" i="1" s="1"/>
  <c r="BW97" i="1"/>
  <c r="BF122" i="1"/>
  <c r="BG122" i="1" s="1"/>
  <c r="BG97" i="1"/>
  <c r="AP122" i="1"/>
  <c r="AQ122" i="1" s="1"/>
  <c r="AQ97" i="1"/>
  <c r="Z122" i="1"/>
  <c r="AA122" i="1" s="1"/>
  <c r="AA97" i="1"/>
  <c r="J122" i="1"/>
  <c r="K122" i="1" s="1"/>
  <c r="K97" i="1"/>
  <c r="CV91" i="1"/>
  <c r="CW91" i="1" s="1"/>
  <c r="CW85" i="1"/>
  <c r="CF91" i="1"/>
  <c r="CG91" i="1" s="1"/>
  <c r="CG85" i="1"/>
  <c r="BP91" i="1"/>
  <c r="BQ91" i="1" s="1"/>
  <c r="BQ85" i="1"/>
  <c r="BA85" i="1"/>
  <c r="AZ91" i="1"/>
  <c r="BA91" i="1" s="1"/>
  <c r="AK85" i="1"/>
  <c r="AJ91" i="1"/>
  <c r="AK91" i="1" s="1"/>
  <c r="U85" i="1"/>
  <c r="T91" i="1"/>
  <c r="U91" i="1" s="1"/>
  <c r="E85" i="1"/>
  <c r="DD85" i="1"/>
  <c r="D91" i="1"/>
  <c r="E91" i="1" s="1"/>
  <c r="CT91" i="1"/>
  <c r="CU91" i="1" s="1"/>
  <c r="CD91" i="1"/>
  <c r="CE91" i="1" s="1"/>
  <c r="BN91" i="1"/>
  <c r="BO91" i="1" s="1"/>
  <c r="AX91" i="1"/>
  <c r="AY91" i="1" s="1"/>
  <c r="AH91" i="1"/>
  <c r="AI91" i="1" s="1"/>
  <c r="R91" i="1"/>
  <c r="S91" i="1" s="1"/>
  <c r="E73" i="1"/>
  <c r="DD73" i="1"/>
  <c r="DE73" i="1" s="1"/>
  <c r="CX56" i="1"/>
  <c r="BR56" i="1"/>
  <c r="AL56" i="1"/>
  <c r="F56" i="1"/>
  <c r="BX56" i="1"/>
  <c r="AR56" i="1"/>
  <c r="M40" i="1"/>
  <c r="L56" i="1"/>
  <c r="CT56" i="1"/>
  <c r="BN56" i="1"/>
  <c r="BO40" i="1"/>
  <c r="AH56" i="1"/>
  <c r="AI40" i="1"/>
  <c r="CZ56" i="1"/>
  <c r="DA40" i="1"/>
  <c r="BT56" i="1"/>
  <c r="BU40" i="1"/>
  <c r="AN56" i="1"/>
  <c r="AO40" i="1"/>
  <c r="I40" i="1"/>
  <c r="H56" i="1"/>
  <c r="CU48" i="1"/>
  <c r="CU31" i="1"/>
  <c r="CE48" i="1"/>
  <c r="CE31" i="1"/>
  <c r="BT42" i="1"/>
  <c r="BU42" i="1" s="1"/>
  <c r="BU33" i="1"/>
  <c r="BD33" i="1"/>
  <c r="AN42" i="1"/>
  <c r="AO42" i="1" s="1"/>
  <c r="AO33" i="1"/>
  <c r="X33" i="1"/>
  <c r="Y50" i="1" s="1"/>
  <c r="H42" i="1"/>
  <c r="I42" i="1" s="1"/>
  <c r="I33" i="1"/>
  <c r="CX33" i="1"/>
  <c r="CY53" i="1" s="1"/>
  <c r="CY25" i="1"/>
  <c r="BR33" i="1"/>
  <c r="BS25" i="1"/>
  <c r="AL33" i="1"/>
  <c r="AM53" i="1" s="1"/>
  <c r="AM25" i="1"/>
  <c r="F33" i="1"/>
  <c r="G25" i="1"/>
  <c r="BY25" i="1"/>
  <c r="BX33" i="1"/>
  <c r="AS25" i="1"/>
  <c r="AR33" i="1"/>
  <c r="M25" i="1"/>
  <c r="L33" i="1"/>
  <c r="BO48" i="1"/>
  <c r="BO31" i="1"/>
  <c r="AY48" i="1"/>
  <c r="AY31" i="1"/>
  <c r="AI48" i="1"/>
  <c r="AI31" i="1"/>
  <c r="S48" i="1"/>
  <c r="S31" i="1"/>
  <c r="BV33" i="1"/>
  <c r="BG33" i="1"/>
  <c r="BF42" i="1"/>
  <c r="BG42" i="1" s="1"/>
  <c r="AQ33" i="1"/>
  <c r="AP42" i="1"/>
  <c r="AQ42" i="1" s="1"/>
  <c r="AA33" i="1"/>
  <c r="Z42" i="1"/>
  <c r="AA42" i="1" s="1"/>
  <c r="K33" i="1"/>
  <c r="J42" i="1"/>
  <c r="K42" i="1" s="1"/>
  <c r="CU62" i="1"/>
  <c r="CU17" i="1"/>
  <c r="CT21" i="1"/>
  <c r="CU21" i="1" s="1"/>
  <c r="CU15" i="1"/>
  <c r="CE17" i="1"/>
  <c r="CD21" i="1"/>
  <c r="CE21" i="1" s="1"/>
  <c r="CE15" i="1"/>
  <c r="BO17" i="1"/>
  <c r="BN21" i="1"/>
  <c r="BO21" i="1" s="1"/>
  <c r="BO15" i="1"/>
  <c r="AY17" i="1"/>
  <c r="AX21" i="1"/>
  <c r="AY21" i="1" s="1"/>
  <c r="AY15" i="1"/>
  <c r="AI17" i="1"/>
  <c r="AH21" i="1"/>
  <c r="AI21" i="1" s="1"/>
  <c r="AI15" i="1"/>
  <c r="S17" i="1"/>
  <c r="R21" i="1"/>
  <c r="S21" i="1" s="1"/>
  <c r="S15" i="1"/>
  <c r="DD15" i="1"/>
  <c r="CE19" i="1"/>
  <c r="AI19" i="1"/>
  <c r="CV21" i="1"/>
  <c r="CW21" i="1" s="1"/>
  <c r="E33" i="2"/>
  <c r="D41" i="2"/>
  <c r="E41" i="2" s="1"/>
  <c r="E52" i="2"/>
  <c r="P122" i="1"/>
  <c r="Q122" i="1" s="1"/>
  <c r="Q97" i="1"/>
  <c r="CD122" i="1"/>
  <c r="CE122" i="1" s="1"/>
  <c r="CE97" i="1"/>
  <c r="AX122" i="1"/>
  <c r="AY122" i="1" s="1"/>
  <c r="AY97" i="1"/>
  <c r="R122" i="1"/>
  <c r="S122" i="1" s="1"/>
  <c r="S97" i="1"/>
  <c r="CO85" i="1"/>
  <c r="CN91" i="1"/>
  <c r="CO91" i="1" s="1"/>
  <c r="AS85" i="1"/>
  <c r="AR91" i="1"/>
  <c r="AS91" i="1" s="1"/>
  <c r="M85" i="1"/>
  <c r="L91" i="1"/>
  <c r="M91" i="1" s="1"/>
  <c r="E43" i="3"/>
  <c r="E47" i="3"/>
  <c r="E15" i="4"/>
  <c r="D21" i="4"/>
  <c r="E21" i="4" s="1"/>
  <c r="E39" i="4"/>
  <c r="X122" i="1"/>
  <c r="Y122" i="1" s="1"/>
  <c r="Y97" i="1"/>
  <c r="DE99" i="1"/>
  <c r="DD100" i="1"/>
  <c r="DE100" i="1" s="1"/>
  <c r="CR122" i="1"/>
  <c r="CS122" i="1" s="1"/>
  <c r="CB122" i="1"/>
  <c r="CC122" i="1" s="1"/>
  <c r="BL122" i="1"/>
  <c r="BM122" i="1" s="1"/>
  <c r="AV122" i="1"/>
  <c r="AW122" i="1" s="1"/>
  <c r="CX122" i="1"/>
  <c r="CY122" i="1" s="1"/>
  <c r="CY97" i="1"/>
  <c r="CH122" i="1"/>
  <c r="CI122" i="1" s="1"/>
  <c r="CI97" i="1"/>
  <c r="BR122" i="1"/>
  <c r="BS122" i="1" s="1"/>
  <c r="BS97" i="1"/>
  <c r="BB122" i="1"/>
  <c r="BC122" i="1" s="1"/>
  <c r="BC97" i="1"/>
  <c r="AL122" i="1"/>
  <c r="AM122" i="1" s="1"/>
  <c r="AM97" i="1"/>
  <c r="V122" i="1"/>
  <c r="W122" i="1" s="1"/>
  <c r="W97" i="1"/>
  <c r="F122" i="1"/>
  <c r="G122" i="1" s="1"/>
  <c r="G97" i="1"/>
  <c r="CN122" i="1"/>
  <c r="CO122" i="1" s="1"/>
  <c r="BX122" i="1"/>
  <c r="BY122" i="1" s="1"/>
  <c r="BH122" i="1"/>
  <c r="BI122" i="1" s="1"/>
  <c r="AR122" i="1"/>
  <c r="AS122" i="1" s="1"/>
  <c r="AB122" i="1"/>
  <c r="AC122" i="1" s="1"/>
  <c r="L122" i="1"/>
  <c r="M122" i="1" s="1"/>
  <c r="DD89" i="1"/>
  <c r="DE89" i="1" s="1"/>
  <c r="CS85" i="1"/>
  <c r="CR91" i="1"/>
  <c r="CS91" i="1" s="1"/>
  <c r="CC85" i="1"/>
  <c r="CB91" i="1"/>
  <c r="CC91" i="1" s="1"/>
  <c r="BM85" i="1"/>
  <c r="BL91" i="1"/>
  <c r="BM91" i="1" s="1"/>
  <c r="AV91" i="1"/>
  <c r="AW91" i="1" s="1"/>
  <c r="AW85" i="1"/>
  <c r="AF91" i="1"/>
  <c r="AG91" i="1" s="1"/>
  <c r="AG85" i="1"/>
  <c r="P91" i="1"/>
  <c r="Q91" i="1" s="1"/>
  <c r="Q85" i="1"/>
  <c r="CX91" i="1"/>
  <c r="CY91" i="1" s="1"/>
  <c r="CH91" i="1"/>
  <c r="CI91" i="1" s="1"/>
  <c r="BR91" i="1"/>
  <c r="BS91" i="1" s="1"/>
  <c r="BB91" i="1"/>
  <c r="BC91" i="1" s="1"/>
  <c r="AL91" i="1"/>
  <c r="AM91" i="1" s="1"/>
  <c r="V91" i="1"/>
  <c r="W91" i="1" s="1"/>
  <c r="F91" i="1"/>
  <c r="G91" i="1" s="1"/>
  <c r="G64" i="1"/>
  <c r="DD64" i="1"/>
  <c r="CO50" i="1"/>
  <c r="BY50" i="1"/>
  <c r="BI50" i="1"/>
  <c r="AS50" i="1"/>
  <c r="AC50" i="1"/>
  <c r="M50" i="1"/>
  <c r="CV53" i="1"/>
  <c r="CF53" i="1"/>
  <c r="CG53" i="1" s="1"/>
  <c r="CG46" i="1"/>
  <c r="BP53" i="1"/>
  <c r="AZ53" i="1"/>
  <c r="BA53" i="1" s="1"/>
  <c r="BA46" i="1"/>
  <c r="AJ53" i="1"/>
  <c r="T53" i="1"/>
  <c r="U53" i="1" s="1"/>
  <c r="U46" i="1"/>
  <c r="D53" i="1"/>
  <c r="DD46" i="1"/>
  <c r="CP56" i="1"/>
  <c r="BJ56" i="1"/>
  <c r="AD56" i="1"/>
  <c r="AE40" i="1"/>
  <c r="CE53" i="1"/>
  <c r="BO53" i="1"/>
  <c r="AY53" i="1"/>
  <c r="AI53" i="1"/>
  <c r="S53" i="1"/>
  <c r="CV56" i="1"/>
  <c r="BP56" i="1"/>
  <c r="AJ56" i="1"/>
  <c r="D56" i="1"/>
  <c r="DD40" i="1"/>
  <c r="CZ53" i="1"/>
  <c r="DA53" i="1" s="1"/>
  <c r="DA46" i="1"/>
  <c r="CJ53" i="1"/>
  <c r="BT53" i="1"/>
  <c r="BU53" i="1" s="1"/>
  <c r="BU46" i="1"/>
  <c r="BD53" i="1"/>
  <c r="BE53" i="1" s="1"/>
  <c r="BE46" i="1"/>
  <c r="AN53" i="1"/>
  <c r="AO53" i="1" s="1"/>
  <c r="AO46" i="1"/>
  <c r="X53" i="1"/>
  <c r="Y53" i="1" s="1"/>
  <c r="Y46" i="1"/>
  <c r="H53" i="1"/>
  <c r="I53" i="1" s="1"/>
  <c r="I46" i="1"/>
  <c r="CL56" i="1"/>
  <c r="CM40" i="1"/>
  <c r="BF56" i="1"/>
  <c r="BG40" i="1"/>
  <c r="Z56" i="1"/>
  <c r="AA40" i="1"/>
  <c r="CA53" i="1"/>
  <c r="AU53" i="1"/>
  <c r="O53" i="1"/>
  <c r="CR56" i="1"/>
  <c r="CS40" i="1"/>
  <c r="BL56" i="1"/>
  <c r="BM40" i="1"/>
  <c r="AG40" i="1"/>
  <c r="AF56" i="1"/>
  <c r="DC38" i="1"/>
  <c r="BW38" i="1"/>
  <c r="BA37" i="1"/>
  <c r="CQ48" i="1"/>
  <c r="CQ31" i="1"/>
  <c r="CA48" i="1"/>
  <c r="CA31" i="1"/>
  <c r="DA33" i="1"/>
  <c r="CZ42" i="1"/>
  <c r="DA42" i="1" s="1"/>
  <c r="CJ33" i="1"/>
  <c r="BS48" i="1"/>
  <c r="BS31" i="1"/>
  <c r="BC48" i="1"/>
  <c r="BC31" i="1"/>
  <c r="AM48" i="1"/>
  <c r="AM31" i="1"/>
  <c r="W48" i="1"/>
  <c r="W31" i="1"/>
  <c r="G48" i="1"/>
  <c r="G31" i="1"/>
  <c r="E28" i="1"/>
  <c r="DD28" i="1"/>
  <c r="DE28" i="1" s="1"/>
  <c r="CP33" i="1"/>
  <c r="CQ25" i="1"/>
  <c r="BJ33" i="1"/>
  <c r="BK53" i="1" s="1"/>
  <c r="BK25" i="1"/>
  <c r="AD33" i="1"/>
  <c r="AE25" i="1"/>
  <c r="CW25" i="1"/>
  <c r="CV33" i="1"/>
  <c r="BQ25" i="1"/>
  <c r="BP33" i="1"/>
  <c r="AK25" i="1"/>
  <c r="AJ33" i="1"/>
  <c r="AK50" i="1" s="1"/>
  <c r="E25" i="1"/>
  <c r="D33" i="1"/>
  <c r="E46" i="1" s="1"/>
  <c r="DD25" i="1"/>
  <c r="DE25" i="1" s="1"/>
  <c r="CT33" i="1"/>
  <c r="CU40" i="1" s="1"/>
  <c r="CD33" i="1"/>
  <c r="AA19" i="1"/>
  <c r="CQ62" i="1"/>
  <c r="CQ15" i="1"/>
  <c r="CP21" i="1"/>
  <c r="CQ21" i="1" s="1"/>
  <c r="CQ17" i="1"/>
  <c r="BZ21" i="1"/>
  <c r="CA21" i="1" s="1"/>
  <c r="CA15" i="1"/>
  <c r="CA17" i="1"/>
  <c r="BK17" i="1"/>
  <c r="BJ21" i="1"/>
  <c r="BK21" i="1" s="1"/>
  <c r="BK15" i="1"/>
  <c r="AU17" i="1"/>
  <c r="AT21" i="1"/>
  <c r="AU21" i="1" s="1"/>
  <c r="AU15" i="1"/>
  <c r="AE17" i="1"/>
  <c r="AD21" i="1"/>
  <c r="AE21" i="1" s="1"/>
  <c r="AE15" i="1"/>
  <c r="O17" i="1"/>
  <c r="N21" i="1"/>
  <c r="O21" i="1" s="1"/>
  <c r="O15" i="1"/>
  <c r="DC19" i="1"/>
  <c r="BW19" i="1"/>
  <c r="S19" i="1"/>
  <c r="CY17" i="1"/>
  <c r="BS17" i="1"/>
  <c r="DE64" i="1" l="1"/>
  <c r="BP42" i="1"/>
  <c r="BQ42" i="1" s="1"/>
  <c r="BQ33" i="1"/>
  <c r="AG56" i="1"/>
  <c r="AF57" i="1"/>
  <c r="DE35" i="1"/>
  <c r="CQ56" i="1"/>
  <c r="CP57" i="1"/>
  <c r="E53" i="1"/>
  <c r="DD53" i="1"/>
  <c r="AK53" i="1"/>
  <c r="CW53" i="1"/>
  <c r="CE33" i="1"/>
  <c r="CD42" i="1"/>
  <c r="CE42" i="1" s="1"/>
  <c r="CE50" i="1"/>
  <c r="CE46" i="1"/>
  <c r="AE33" i="1"/>
  <c r="AD42" i="1"/>
  <c r="AE42" i="1" s="1"/>
  <c r="AE46" i="1"/>
  <c r="AE50" i="1"/>
  <c r="CQ33" i="1"/>
  <c r="CP42" i="1"/>
  <c r="CQ42" i="1" s="1"/>
  <c r="CQ46" i="1"/>
  <c r="CQ50" i="1"/>
  <c r="CS56" i="1"/>
  <c r="CR57" i="1"/>
  <c r="AA56" i="1"/>
  <c r="Z57" i="1"/>
  <c r="CM56" i="1"/>
  <c r="CL57" i="1"/>
  <c r="CK53" i="1"/>
  <c r="AK56" i="1"/>
  <c r="AJ57" i="1"/>
  <c r="CW56" i="1"/>
  <c r="CV57" i="1"/>
  <c r="AE56" i="1"/>
  <c r="AD57" i="1"/>
  <c r="CQ40" i="1"/>
  <c r="AR42" i="1"/>
  <c r="AS42" i="1" s="1"/>
  <c r="AS33" i="1"/>
  <c r="I56" i="1"/>
  <c r="H57" i="1"/>
  <c r="AS40" i="1"/>
  <c r="G56" i="1"/>
  <c r="F57" i="1"/>
  <c r="BS56" i="1"/>
  <c r="BR57" i="1"/>
  <c r="D98" i="3"/>
  <c r="E98" i="3" s="1"/>
  <c r="E56" i="3"/>
  <c r="T42" i="1"/>
  <c r="U42" i="1" s="1"/>
  <c r="U33" i="1"/>
  <c r="CG33" i="1"/>
  <c r="CF42" i="1"/>
  <c r="CG42" i="1" s="1"/>
  <c r="AW56" i="1"/>
  <c r="AV57" i="1"/>
  <c r="K56" i="1"/>
  <c r="J57" i="1"/>
  <c r="BW56" i="1"/>
  <c r="BV57" i="1"/>
  <c r="U56" i="1"/>
  <c r="T57" i="1"/>
  <c r="CG56" i="1"/>
  <c r="CF57" i="1"/>
  <c r="DE36" i="1"/>
  <c r="M53" i="1"/>
  <c r="AS53" i="1"/>
  <c r="BY53" i="1"/>
  <c r="E50" i="1"/>
  <c r="BQ50" i="1"/>
  <c r="BO33" i="1"/>
  <c r="BN42" i="1"/>
  <c r="BO42" i="1" s="1"/>
  <c r="BO50" i="1"/>
  <c r="BO46" i="1"/>
  <c r="DE37" i="1"/>
  <c r="BE56" i="1"/>
  <c r="BD57" i="1"/>
  <c r="AC56" i="1"/>
  <c r="AB57" i="1"/>
  <c r="BC56" i="1"/>
  <c r="BB57" i="1"/>
  <c r="CK33" i="1"/>
  <c r="CJ42" i="1"/>
  <c r="CK42" i="1" s="1"/>
  <c r="E40" i="1"/>
  <c r="BQ40" i="1"/>
  <c r="BK56" i="1"/>
  <c r="BJ57" i="1"/>
  <c r="DE15" i="1"/>
  <c r="DE62" i="1"/>
  <c r="BW33" i="1"/>
  <c r="BV42" i="1"/>
  <c r="BW42" i="1" s="1"/>
  <c r="BW46" i="1"/>
  <c r="BW50" i="1"/>
  <c r="G33" i="1"/>
  <c r="F42" i="1"/>
  <c r="G42" i="1" s="1"/>
  <c r="G50" i="1"/>
  <c r="G46" i="1"/>
  <c r="BS33" i="1"/>
  <c r="BR42" i="1"/>
  <c r="BS42" i="1" s="1"/>
  <c r="BS50" i="1"/>
  <c r="BS46" i="1"/>
  <c r="BD42" i="1"/>
  <c r="BE42" i="1" s="1"/>
  <c r="BE33" i="1"/>
  <c r="BU56" i="1"/>
  <c r="BT57" i="1"/>
  <c r="AI56" i="1"/>
  <c r="AH57" i="1"/>
  <c r="CU56" i="1"/>
  <c r="CT57" i="1"/>
  <c r="AS56" i="1"/>
  <c r="AR57" i="1"/>
  <c r="G40" i="1"/>
  <c r="BS40" i="1"/>
  <c r="DE85" i="1"/>
  <c r="DD91" i="1"/>
  <c r="DE91" i="1" s="1"/>
  <c r="AU33" i="1"/>
  <c r="AT42" i="1"/>
  <c r="AU42" i="1" s="1"/>
  <c r="AU46" i="1"/>
  <c r="AU50" i="1"/>
  <c r="Q56" i="1"/>
  <c r="P57" i="1"/>
  <c r="BW53" i="1"/>
  <c r="CA56" i="1"/>
  <c r="BZ57" i="1"/>
  <c r="D98" i="2"/>
  <c r="E98" i="2" s="1"/>
  <c r="DD122" i="1"/>
  <c r="DE122" i="1" s="1"/>
  <c r="DE97" i="1"/>
  <c r="DE19" i="1"/>
  <c r="S33" i="1"/>
  <c r="R42" i="1"/>
  <c r="S42" i="1" s="1"/>
  <c r="S50" i="1"/>
  <c r="S46" i="1"/>
  <c r="AB42" i="1"/>
  <c r="AC42" i="1" s="1"/>
  <c r="AC33" i="1"/>
  <c r="CO33" i="1"/>
  <c r="CN42" i="1"/>
  <c r="CO42" i="1" s="1"/>
  <c r="W33" i="1"/>
  <c r="V42" i="1"/>
  <c r="W42" i="1" s="1"/>
  <c r="W46" i="1"/>
  <c r="W50" i="1"/>
  <c r="CI33" i="1"/>
  <c r="CH42" i="1"/>
  <c r="CI42" i="1" s="1"/>
  <c r="CI46" i="1"/>
  <c r="CI50" i="1"/>
  <c r="Y56" i="1"/>
  <c r="X57" i="1"/>
  <c r="CK40" i="1"/>
  <c r="AY56" i="1"/>
  <c r="AX57" i="1"/>
  <c r="AC40" i="1"/>
  <c r="CO56" i="1"/>
  <c r="CN57" i="1"/>
  <c r="BC40" i="1"/>
  <c r="BE50" i="1"/>
  <c r="CU33" i="1"/>
  <c r="CT42" i="1"/>
  <c r="CU42" i="1" s="1"/>
  <c r="CU50" i="1"/>
  <c r="CU46" i="1"/>
  <c r="CW33" i="1"/>
  <c r="CV42" i="1"/>
  <c r="CW42" i="1" s="1"/>
  <c r="BK33" i="1"/>
  <c r="BJ42" i="1"/>
  <c r="BK42" i="1" s="1"/>
  <c r="BK46" i="1"/>
  <c r="BK50" i="1"/>
  <c r="BM56" i="1"/>
  <c r="BL57" i="1"/>
  <c r="AE53" i="1"/>
  <c r="CQ53" i="1"/>
  <c r="BG56" i="1"/>
  <c r="BF57" i="1"/>
  <c r="E56" i="1"/>
  <c r="DD56" i="1"/>
  <c r="DE56" i="1" s="1"/>
  <c r="D57" i="1"/>
  <c r="BQ56" i="1"/>
  <c r="BP57" i="1"/>
  <c r="CU53" i="1"/>
  <c r="BK40" i="1"/>
  <c r="AK46" i="1"/>
  <c r="BQ46" i="1"/>
  <c r="CW46" i="1"/>
  <c r="L42" i="1"/>
  <c r="M42" i="1" s="1"/>
  <c r="M33" i="1"/>
  <c r="BX42" i="1"/>
  <c r="BY42" i="1" s="1"/>
  <c r="BY33" i="1"/>
  <c r="X42" i="1"/>
  <c r="Y42" i="1" s="1"/>
  <c r="Y33" i="1"/>
  <c r="M56" i="1"/>
  <c r="L57" i="1"/>
  <c r="BY40" i="1"/>
  <c r="AM56" i="1"/>
  <c r="AL57" i="1"/>
  <c r="CY56" i="1"/>
  <c r="CX57" i="1"/>
  <c r="CM33" i="1"/>
  <c r="CL42" i="1"/>
  <c r="CM42" i="1" s="1"/>
  <c r="CM46" i="1"/>
  <c r="CM50" i="1"/>
  <c r="AZ42" i="1"/>
  <c r="BA42" i="1" s="1"/>
  <c r="BA33" i="1"/>
  <c r="CC56" i="1"/>
  <c r="CB57" i="1"/>
  <c r="AQ56" i="1"/>
  <c r="AP57" i="1"/>
  <c r="DC56" i="1"/>
  <c r="DB57" i="1"/>
  <c r="BA56" i="1"/>
  <c r="AZ57" i="1"/>
  <c r="CM53" i="1"/>
  <c r="O56" i="1"/>
  <c r="N57" i="1"/>
  <c r="CW50" i="1"/>
  <c r="E33" i="3"/>
  <c r="D41" i="3"/>
  <c r="E41" i="3" s="1"/>
  <c r="E45" i="3"/>
  <c r="E39" i="3"/>
  <c r="E49" i="3"/>
  <c r="DD21" i="1"/>
  <c r="DE21" i="1" s="1"/>
  <c r="AI33" i="1"/>
  <c r="AH42" i="1"/>
  <c r="AI42" i="1" s="1"/>
  <c r="AI50" i="1"/>
  <c r="AI46" i="1"/>
  <c r="Y40" i="1"/>
  <c r="CK56" i="1"/>
  <c r="CJ57" i="1"/>
  <c r="S40" i="1"/>
  <c r="CE40" i="1"/>
  <c r="W56" i="1"/>
  <c r="V57" i="1"/>
  <c r="CI56" i="1"/>
  <c r="CH57" i="1"/>
  <c r="CK50" i="1"/>
  <c r="AJ42" i="1"/>
  <c r="AK42" i="1" s="1"/>
  <c r="AK33" i="1"/>
  <c r="D42" i="1"/>
  <c r="DD33" i="1"/>
  <c r="DE33" i="1" s="1"/>
  <c r="E33" i="1"/>
  <c r="CK46" i="1"/>
  <c r="AK40" i="1"/>
  <c r="CW40" i="1"/>
  <c r="BQ53" i="1"/>
  <c r="AM33" i="1"/>
  <c r="AL42" i="1"/>
  <c r="AM42" i="1" s="1"/>
  <c r="AM50" i="1"/>
  <c r="AM46" i="1"/>
  <c r="CY33" i="1"/>
  <c r="CX42" i="1"/>
  <c r="CY42" i="1" s="1"/>
  <c r="CY50" i="1"/>
  <c r="CY46" i="1"/>
  <c r="AO56" i="1"/>
  <c r="AN57" i="1"/>
  <c r="DA56" i="1"/>
  <c r="CZ57" i="1"/>
  <c r="BO56" i="1"/>
  <c r="BN57" i="1"/>
  <c r="BY56" i="1"/>
  <c r="BX57" i="1"/>
  <c r="AM40" i="1"/>
  <c r="CY40" i="1"/>
  <c r="E55" i="4"/>
  <c r="D56" i="4"/>
  <c r="DC33" i="1"/>
  <c r="DB42" i="1"/>
  <c r="DC42" i="1" s="1"/>
  <c r="DC46" i="1"/>
  <c r="DC50" i="1"/>
  <c r="O33" i="1"/>
  <c r="N42" i="1"/>
  <c r="O42" i="1" s="1"/>
  <c r="O46" i="1"/>
  <c r="O50" i="1"/>
  <c r="CA33" i="1"/>
  <c r="BZ42" i="1"/>
  <c r="CA42" i="1" s="1"/>
  <c r="CA46" i="1"/>
  <c r="CA50" i="1"/>
  <c r="BW40" i="1"/>
  <c r="DC53" i="1"/>
  <c r="AU56" i="1"/>
  <c r="AT57" i="1"/>
  <c r="M46" i="1"/>
  <c r="AS46" i="1"/>
  <c r="BY46" i="1"/>
  <c r="AY33" i="1"/>
  <c r="AX42" i="1"/>
  <c r="AY42" i="1" s="1"/>
  <c r="AY50" i="1"/>
  <c r="AY46" i="1"/>
  <c r="BH42" i="1"/>
  <c r="BI42" i="1" s="1"/>
  <c r="BI33" i="1"/>
  <c r="DE17" i="1"/>
  <c r="BC33" i="1"/>
  <c r="BB42" i="1"/>
  <c r="BC42" i="1" s="1"/>
  <c r="BC46" i="1"/>
  <c r="BC50" i="1"/>
  <c r="BE40" i="1"/>
  <c r="G53" i="1"/>
  <c r="BS53" i="1"/>
  <c r="S56" i="1"/>
  <c r="R57" i="1"/>
  <c r="CE56" i="1"/>
  <c r="CD57" i="1"/>
  <c r="BI56" i="1"/>
  <c r="BH57" i="1"/>
  <c r="CB124" i="1" l="1"/>
  <c r="CC124" i="1" s="1"/>
  <c r="CC57" i="1"/>
  <c r="R124" i="1"/>
  <c r="S124" i="1" s="1"/>
  <c r="S57" i="1"/>
  <c r="AT124" i="1"/>
  <c r="AU124" i="1" s="1"/>
  <c r="AU57" i="1"/>
  <c r="E56" i="4"/>
  <c r="D98" i="4"/>
  <c r="E98" i="4" s="1"/>
  <c r="BX124" i="1"/>
  <c r="BY124" i="1" s="1"/>
  <c r="BY57" i="1"/>
  <c r="CZ124" i="1"/>
  <c r="DA124" i="1" s="1"/>
  <c r="DA57" i="1"/>
  <c r="V124" i="1"/>
  <c r="W124" i="1" s="1"/>
  <c r="W57" i="1"/>
  <c r="CJ124" i="1"/>
  <c r="CK124" i="1" s="1"/>
  <c r="CK57" i="1"/>
  <c r="L124" i="1"/>
  <c r="M124" i="1" s="1"/>
  <c r="M57" i="1"/>
  <c r="CN124" i="1"/>
  <c r="CO124" i="1" s="1"/>
  <c r="CO57" i="1"/>
  <c r="BZ124" i="1"/>
  <c r="CA124" i="1" s="1"/>
  <c r="CA57" i="1"/>
  <c r="BB124" i="1"/>
  <c r="BC124" i="1" s="1"/>
  <c r="BC57" i="1"/>
  <c r="BD124" i="1"/>
  <c r="BE124" i="1" s="1"/>
  <c r="BE57" i="1"/>
  <c r="AF124" i="1"/>
  <c r="AG124" i="1" s="1"/>
  <c r="AG57" i="1"/>
  <c r="AZ124" i="1"/>
  <c r="BA124" i="1" s="1"/>
  <c r="BA57" i="1"/>
  <c r="AP124" i="1"/>
  <c r="AQ124" i="1" s="1"/>
  <c r="AQ57" i="1"/>
  <c r="AL124" i="1"/>
  <c r="AM124" i="1" s="1"/>
  <c r="AM57" i="1"/>
  <c r="BP124" i="1"/>
  <c r="BQ124" i="1" s="1"/>
  <c r="BQ57" i="1"/>
  <c r="AR124" i="1"/>
  <c r="AS124" i="1" s="1"/>
  <c r="AS57" i="1"/>
  <c r="AH124" i="1"/>
  <c r="AI124" i="1" s="1"/>
  <c r="AI57" i="1"/>
  <c r="DE46" i="1"/>
  <c r="CF124" i="1"/>
  <c r="CG124" i="1" s="1"/>
  <c r="CG57" i="1"/>
  <c r="BV124" i="1"/>
  <c r="BW124" i="1" s="1"/>
  <c r="BW57" i="1"/>
  <c r="AV124" i="1"/>
  <c r="AW124" i="1" s="1"/>
  <c r="AW57" i="1"/>
  <c r="BR124" i="1"/>
  <c r="BS124" i="1" s="1"/>
  <c r="BS57" i="1"/>
  <c r="CV124" i="1"/>
  <c r="CW124" i="1" s="1"/>
  <c r="CW57" i="1"/>
  <c r="DE40" i="1"/>
  <c r="Z124" i="1"/>
  <c r="AA124" i="1" s="1"/>
  <c r="AA57" i="1"/>
  <c r="CP124" i="1"/>
  <c r="CQ124" i="1" s="1"/>
  <c r="CQ57" i="1"/>
  <c r="CX124" i="1"/>
  <c r="CY124" i="1" s="1"/>
  <c r="CY57" i="1"/>
  <c r="AX124" i="1"/>
  <c r="AY124" i="1" s="1"/>
  <c r="AY57" i="1"/>
  <c r="CT124" i="1"/>
  <c r="CU124" i="1" s="1"/>
  <c r="CU57" i="1"/>
  <c r="T124" i="1"/>
  <c r="U124" i="1" s="1"/>
  <c r="U57" i="1"/>
  <c r="BH124" i="1"/>
  <c r="BI124" i="1" s="1"/>
  <c r="BI57" i="1"/>
  <c r="DE50" i="1"/>
  <c r="CD124" i="1"/>
  <c r="CE124" i="1" s="1"/>
  <c r="CE57" i="1"/>
  <c r="BN124" i="1"/>
  <c r="BO124" i="1" s="1"/>
  <c r="BO57" i="1"/>
  <c r="AN124" i="1"/>
  <c r="AO124" i="1" s="1"/>
  <c r="AO57" i="1"/>
  <c r="E42" i="1"/>
  <c r="DD42" i="1"/>
  <c r="DE42" i="1" s="1"/>
  <c r="CH124" i="1"/>
  <c r="CI124" i="1" s="1"/>
  <c r="CI57" i="1"/>
  <c r="N124" i="1"/>
  <c r="O124" i="1" s="1"/>
  <c r="O57" i="1"/>
  <c r="BF124" i="1"/>
  <c r="BG124" i="1" s="1"/>
  <c r="BG57" i="1"/>
  <c r="BL124" i="1"/>
  <c r="BM124" i="1" s="1"/>
  <c r="BM57" i="1"/>
  <c r="X124" i="1"/>
  <c r="Y124" i="1" s="1"/>
  <c r="Y57" i="1"/>
  <c r="BJ124" i="1"/>
  <c r="BK124" i="1" s="1"/>
  <c r="BK57" i="1"/>
  <c r="AB124" i="1"/>
  <c r="AC124" i="1" s="1"/>
  <c r="AC57" i="1"/>
  <c r="H124" i="1"/>
  <c r="I124" i="1" s="1"/>
  <c r="I57" i="1"/>
  <c r="DB124" i="1"/>
  <c r="DC124" i="1" s="1"/>
  <c r="DC57" i="1"/>
  <c r="D124" i="1"/>
  <c r="E124" i="1" s="1"/>
  <c r="E57" i="1"/>
  <c r="DD57" i="1"/>
  <c r="P124" i="1"/>
  <c r="Q124" i="1" s="1"/>
  <c r="Q57" i="1"/>
  <c r="BT124" i="1"/>
  <c r="BU124" i="1" s="1"/>
  <c r="BU57" i="1"/>
  <c r="J124" i="1"/>
  <c r="K124" i="1" s="1"/>
  <c r="K57" i="1"/>
  <c r="F124" i="1"/>
  <c r="G124" i="1" s="1"/>
  <c r="G57" i="1"/>
  <c r="AD124" i="1"/>
  <c r="AE124" i="1" s="1"/>
  <c r="AE57" i="1"/>
  <c r="AJ124" i="1"/>
  <c r="AK124" i="1" s="1"/>
  <c r="AK57" i="1"/>
  <c r="CL124" i="1"/>
  <c r="CM124" i="1" s="1"/>
  <c r="CM57" i="1"/>
  <c r="CR124" i="1"/>
  <c r="CS124" i="1" s="1"/>
  <c r="CS57" i="1"/>
  <c r="DE53" i="1"/>
  <c r="DD124" i="1" l="1"/>
  <c r="DE124" i="1" s="1"/>
  <c r="DE57" i="1"/>
</calcChain>
</file>

<file path=xl/sharedStrings.xml><?xml version="1.0" encoding="utf-8"?>
<sst xmlns="http://schemas.openxmlformats.org/spreadsheetml/2006/main" count="168" uniqueCount="66">
  <si>
    <t>Account</t>
  </si>
  <si>
    <t>Description</t>
  </si>
  <si>
    <t>Budget Report by Location</t>
  </si>
  <si>
    <t>Net Food</t>
  </si>
  <si>
    <t>Total Food Costs</t>
  </si>
  <si>
    <t>Food Gross Profit</t>
  </si>
  <si>
    <t>Total Beverage Cost</t>
  </si>
  <si>
    <t>Beverage Gross Profit</t>
  </si>
  <si>
    <t>Total BOH Labor (Food)</t>
  </si>
  <si>
    <t>Total FOH Labor</t>
  </si>
  <si>
    <t>Total Benefits</t>
  </si>
  <si>
    <t>Total Misc Labor</t>
  </si>
  <si>
    <t>Total Training Labor</t>
  </si>
  <si>
    <t>Total Labor Costs</t>
  </si>
  <si>
    <t>Controllable Expenses</t>
  </si>
  <si>
    <t>Labor Expense</t>
  </si>
  <si>
    <t>Total Controllable Expense</t>
  </si>
  <si>
    <t>Total Bonus</t>
  </si>
  <si>
    <t>Manager Labor</t>
  </si>
  <si>
    <t>Total Revenue</t>
  </si>
  <si>
    <t>Net Beverage</t>
  </si>
  <si>
    <t>PROFIT AFTER CONTROLLABLE EXPENSES</t>
  </si>
  <si>
    <t>Total Cost of Sales</t>
  </si>
  <si>
    <t>Gross Profit</t>
  </si>
  <si>
    <t>Net Liquor</t>
  </si>
  <si>
    <t>Net Beer</t>
  </si>
  <si>
    <t>Net Wine</t>
  </si>
  <si>
    <t>Net Other</t>
  </si>
  <si>
    <t>Total Other Cost</t>
  </si>
  <si>
    <t>Other Gross Profit</t>
  </si>
  <si>
    <t>FY Period</t>
  </si>
  <si>
    <t>FY Week ID</t>
  </si>
  <si>
    <t>Annual</t>
  </si>
  <si>
    <t>Food Sales</t>
  </si>
  <si>
    <t>Jackmont Hospitality</t>
  </si>
  <si>
    <t>2445 Columbus</t>
  </si>
  <si>
    <t>2019 Budget</t>
  </si>
  <si>
    <t>Poultry</t>
  </si>
  <si>
    <t>Liquor Sales</t>
  </si>
  <si>
    <t>Beer Sales</t>
  </si>
  <si>
    <t>Wine Sales</t>
  </si>
  <si>
    <t>Liquor Cost</t>
  </si>
  <si>
    <t>Bar Mix Cost</t>
  </si>
  <si>
    <t>Bottled Beer Cost</t>
  </si>
  <si>
    <t>Wine Cost</t>
  </si>
  <si>
    <t>Cigarette Sales</t>
  </si>
  <si>
    <t>Cigarette Cost</t>
  </si>
  <si>
    <t>Prep Labor</t>
  </si>
  <si>
    <t>Waiter/Waitress</t>
  </si>
  <si>
    <t>Admin Labor</t>
  </si>
  <si>
    <t>Cleaning Crew</t>
  </si>
  <si>
    <t>BOH Training</t>
  </si>
  <si>
    <t>Managers Expense</t>
  </si>
  <si>
    <t>Misc Employee Benefits</t>
  </si>
  <si>
    <t>Managers Bonus</t>
  </si>
  <si>
    <t>Local Advertising/Media</t>
  </si>
  <si>
    <t>Employee 100% Discount</t>
  </si>
  <si>
    <t>Landscape</t>
  </si>
  <si>
    <t>Credit Card Chargebacks</t>
  </si>
  <si>
    <t>Workmen Comp</t>
  </si>
  <si>
    <t>NSF Checks</t>
  </si>
  <si>
    <t>Delivery Expense</t>
  </si>
  <si>
    <t>Miscellaneous expense</t>
  </si>
  <si>
    <t>R &amp; M (Repairs &amp; Maintenance)</t>
  </si>
  <si>
    <t>China/Silverware/Glassware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</si>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</sst>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3" tint="-0.4999542222357860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1" applyNumberFormat="0" applyFill="0" applyAlignment="0" applyProtection="0"/>
  </cellStyleXfs>
  <cellXfs count="59">
    <xf numFmtId="0" fontId="0" fillId="0" borderId="0" xfId="0"/>
    <xf numFmtId="165" fontId="1" fillId="0" borderId="2" xfId="1" applyNumberFormat="1" applyFont="1" applyBorder="1"/>
    <xf numFmtId="38" fontId="0" fillId="0" borderId="3" xfId="0" applyNumberFormat="1" applyBorder="1"/>
    <xf numFmtId="38" fontId="1" fillId="0" borderId="4" xfId="2" applyNumberFormat="1" applyBorder="1"/>
    <xf numFmtId="165" fontId="0" fillId="0" borderId="3" xfId="1" applyNumberFormat="1" applyFont="1" applyBorder="1"/>
    <xf numFmtId="38" fontId="0" fillId="0" borderId="5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8" fontId="1" fillId="0" borderId="5" xfId="2" applyNumberFormat="1" applyBorder="1"/>
    <xf numFmtId="0" fontId="0" fillId="0" borderId="3" xfId="0" applyBorder="1"/>
    <xf numFmtId="165" fontId="1" fillId="0" borderId="3" xfId="1" applyNumberFormat="1" applyFont="1" applyBorder="1"/>
    <xf numFmtId="0" fontId="0" fillId="0" borderId="5" xfId="0" applyBorder="1"/>
    <xf numFmtId="165" fontId="1" fillId="2" borderId="2" xfId="1" applyNumberFormat="1" applyFont="1" applyFill="1" applyBorder="1"/>
    <xf numFmtId="38" fontId="1" fillId="2" borderId="4" xfId="0" applyNumberFormat="1" applyFont="1" applyFill="1" applyBorder="1"/>
    <xf numFmtId="3" fontId="0" fillId="0" borderId="4" xfId="0" applyNumberFormat="1" applyBorder="1"/>
    <xf numFmtId="38" fontId="1" fillId="0" borderId="4" xfId="0" applyNumberFormat="1" applyFont="1" applyBorder="1"/>
    <xf numFmtId="38" fontId="1" fillId="0" borderId="3" xfId="2" applyNumberFormat="1" applyBorder="1"/>
    <xf numFmtId="0" fontId="1" fillId="0" borderId="0" xfId="0" applyFont="1" applyAlignment="1">
      <alignment horizontal="center"/>
    </xf>
    <xf numFmtId="165" fontId="1" fillId="0" borderId="6" xfId="1" applyNumberFormat="1" applyFont="1" applyBorder="1"/>
    <xf numFmtId="38" fontId="1" fillId="2" borderId="4" xfId="2" applyNumberFormat="1" applyFont="1" applyFill="1" applyBorder="1"/>
    <xf numFmtId="38" fontId="0" fillId="0" borderId="5" xfId="2" applyNumberFormat="1" applyFont="1" applyBorder="1"/>
    <xf numFmtId="9" fontId="1" fillId="0" borderId="3" xfId="1" applyFont="1" applyBorder="1"/>
    <xf numFmtId="38" fontId="1" fillId="0" borderId="5" xfId="0" applyNumberFormat="1" applyFont="1" applyBorder="1"/>
    <xf numFmtId="0" fontId="0" fillId="0" borderId="4" xfId="0" applyBorder="1"/>
    <xf numFmtId="38" fontId="1" fillId="0" borderId="7" xfId="0" applyNumberFormat="1" applyFont="1" applyBorder="1"/>
    <xf numFmtId="164" fontId="4" fillId="3" borderId="3" xfId="0" applyNumberFormat="1" applyFont="1" applyFill="1" applyBorder="1" applyAlignment="1">
      <alignment horizontal="center"/>
    </xf>
    <xf numFmtId="9" fontId="1" fillId="0" borderId="5" xfId="1" applyFont="1" applyBorder="1"/>
    <xf numFmtId="164" fontId="4" fillId="3" borderId="5" xfId="0" applyNumberFormat="1" applyFont="1" applyFill="1" applyBorder="1" applyAlignment="1">
      <alignment horizontal="center"/>
    </xf>
    <xf numFmtId="38" fontId="0" fillId="0" borderId="0" xfId="0" applyNumberFormat="1"/>
    <xf numFmtId="0" fontId="0" fillId="0" borderId="0" xfId="0" applyBorder="1"/>
    <xf numFmtId="0" fontId="1" fillId="0" borderId="0" xfId="2" applyBorder="1"/>
    <xf numFmtId="0" fontId="1" fillId="0" borderId="8" xfId="2" applyBorder="1" applyAlignment="1">
      <alignment horizontal="right"/>
    </xf>
    <xf numFmtId="0" fontId="1" fillId="0" borderId="8" xfId="2" applyFill="1" applyBorder="1" applyAlignment="1">
      <alignment horizontal="right"/>
    </xf>
    <xf numFmtId="38" fontId="0" fillId="0" borderId="0" xfId="0" applyNumberFormat="1" applyBorder="1"/>
    <xf numFmtId="0" fontId="1" fillId="2" borderId="8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2" applyFill="1" applyBorder="1" applyAlignment="1">
      <alignment horizontal="right"/>
    </xf>
    <xf numFmtId="0" fontId="1" fillId="0" borderId="0" xfId="2" applyBorder="1" applyAlignment="1">
      <alignment horizontal="right"/>
    </xf>
    <xf numFmtId="0" fontId="5" fillId="0" borderId="0" xfId="0" applyFont="1"/>
    <xf numFmtId="0" fontId="4" fillId="3" borderId="0" xfId="0" applyFont="1" applyFill="1"/>
    <xf numFmtId="0" fontId="1" fillId="0" borderId="8" xfId="0" applyFont="1" applyBorder="1" applyAlignment="1">
      <alignment horizontal="right"/>
    </xf>
    <xf numFmtId="0" fontId="6" fillId="0" borderId="0" xfId="0" applyFont="1"/>
    <xf numFmtId="0" fontId="1" fillId="0" borderId="8" xfId="0" applyFont="1" applyFill="1" applyBorder="1" applyAlignment="1">
      <alignment horizontal="right"/>
    </xf>
    <xf numFmtId="9" fontId="1" fillId="0" borderId="9" xfId="1" applyFont="1" applyBorder="1"/>
    <xf numFmtId="0" fontId="0" fillId="0" borderId="0" xfId="0" applyBorder="1" applyAlignment="1">
      <alignment horizontal="right"/>
    </xf>
    <xf numFmtId="0" fontId="0" fillId="0" borderId="0" xfId="0" applyFill="1"/>
    <xf numFmtId="0" fontId="1" fillId="0" borderId="10" xfId="0" applyFont="1" applyBorder="1" applyAlignment="1">
      <alignment horizontal="right"/>
    </xf>
    <xf numFmtId="0" fontId="1" fillId="0" borderId="0" xfId="0" applyFont="1" applyAlignment="1">
      <alignment horizontal="right"/>
    </xf>
    <xf numFmtId="38" fontId="1" fillId="0" borderId="0" xfId="0" applyNumberFormat="1" applyFont="1" applyBorder="1"/>
    <xf numFmtId="0" fontId="1" fillId="2" borderId="8" xfId="0" applyFont="1" applyFill="1" applyBorder="1"/>
    <xf numFmtId="0" fontId="1" fillId="0" borderId="0" xfId="0" applyFont="1"/>
    <xf numFmtId="38" fontId="1" fillId="0" borderId="0" xfId="0" applyNumberFormat="1" applyFont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Percent" xfId="1" builtinId="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F124"/>
  <sheetViews>
    <sheetView showGridLines="0" tabSelected="1" zoomScale="90" workbookViewId="0">
      <pane xSplit="3" ySplit="9" topLeftCell="D24" activePane="bottomRight" state="frozenSplit"/>
      <selection pane="topRight" activeCell="D1" sqref="D1"/>
      <selection pane="bottomLeft" activeCell="A10" sqref="A10"/>
      <selection pane="bottomRight" activeCell="D10" sqref="D10"/>
    </sheetView>
  </sheetViews>
  <sheetFormatPr defaultRowHeight="15" outlineLevelRow="1" x14ac:dyDescent="0.25"/>
  <cols>
    <col min="1" max="1" width="1.5703125" customWidth="1"/>
    <col min="2" max="2" width="10" customWidth="1"/>
    <col min="3" max="3" width="25.42578125" customWidth="1"/>
    <col min="4" max="4" width="12.7109375" customWidth="1"/>
    <col min="5" max="5" width="9.7109375" customWidth="1"/>
    <col min="6" max="6" width="12.7109375" customWidth="1"/>
    <col min="7" max="7" width="9.7109375" customWidth="1"/>
    <col min="8" max="8" width="12.7109375" customWidth="1"/>
    <col min="9" max="9" width="9.7109375" customWidth="1"/>
    <col min="10" max="10" width="12.7109375" customWidth="1"/>
    <col min="11" max="11" width="9.7109375" customWidth="1"/>
    <col min="12" max="12" width="12.7109375" customWidth="1"/>
    <col min="13" max="13" width="9.7109375" customWidth="1"/>
    <col min="14" max="14" width="12.7109375" customWidth="1"/>
    <col min="15" max="15" width="9.7109375" customWidth="1"/>
    <col min="16" max="16" width="12.7109375" customWidth="1"/>
    <col min="17" max="17" width="9.7109375" customWidth="1"/>
    <col min="18" max="18" width="12.7109375" customWidth="1"/>
    <col min="19" max="19" width="9.7109375" customWidth="1"/>
    <col min="20" max="20" width="12.7109375" customWidth="1"/>
    <col min="21" max="21" width="9.7109375" customWidth="1"/>
    <col min="22" max="22" width="12.7109375" customWidth="1"/>
    <col min="23" max="23" width="9.7109375" customWidth="1"/>
    <col min="24" max="24" width="12.7109375" customWidth="1"/>
    <col min="25" max="25" width="9.7109375" customWidth="1"/>
    <col min="26" max="26" width="12.7109375" customWidth="1"/>
    <col min="27" max="27" width="9.7109375" customWidth="1"/>
    <col min="28" max="28" width="12.7109375" customWidth="1"/>
    <col min="29" max="29" width="9.7109375" customWidth="1"/>
    <col min="30" max="30" width="12.7109375" customWidth="1"/>
    <col min="31" max="31" width="9.7109375" customWidth="1"/>
    <col min="32" max="32" width="12.7109375" customWidth="1"/>
    <col min="33" max="33" width="9.7109375" customWidth="1"/>
    <col min="34" max="34" width="12.7109375" customWidth="1"/>
    <col min="35" max="35" width="9.7109375" customWidth="1"/>
    <col min="36" max="36" width="12.7109375" customWidth="1"/>
    <col min="37" max="37" width="9.7109375" customWidth="1"/>
    <col min="38" max="38" width="12.7109375" customWidth="1"/>
    <col min="39" max="39" width="9.7109375" customWidth="1"/>
    <col min="40" max="40" width="12.7109375" customWidth="1"/>
    <col min="41" max="41" width="9.7109375" customWidth="1"/>
    <col min="42" max="42" width="12.7109375" customWidth="1"/>
    <col min="43" max="43" width="9.7109375" customWidth="1"/>
    <col min="44" max="44" width="12.7109375" customWidth="1"/>
    <col min="45" max="45" width="9.7109375" customWidth="1"/>
    <col min="46" max="46" width="12.7109375" customWidth="1"/>
    <col min="47" max="47" width="9.7109375" customWidth="1"/>
    <col min="48" max="48" width="12.7109375" customWidth="1"/>
    <col min="49" max="49" width="9.7109375" customWidth="1"/>
    <col min="50" max="50" width="12.7109375" customWidth="1"/>
    <col min="51" max="51" width="9.7109375" customWidth="1"/>
    <col min="52" max="52" width="12.7109375" customWidth="1"/>
    <col min="53" max="53" width="9.7109375" customWidth="1"/>
    <col min="54" max="54" width="12.7109375" customWidth="1"/>
    <col min="55" max="55" width="9.7109375" customWidth="1"/>
    <col min="56" max="56" width="12.7109375" customWidth="1"/>
    <col min="57" max="57" width="9.7109375" customWidth="1"/>
    <col min="58" max="58" width="12.7109375" customWidth="1"/>
    <col min="59" max="59" width="9.7109375" customWidth="1"/>
    <col min="60" max="60" width="12.7109375" customWidth="1"/>
    <col min="61" max="61" width="9.7109375" customWidth="1"/>
    <col min="62" max="62" width="12.7109375" customWidth="1"/>
    <col min="63" max="63" width="9.7109375" customWidth="1"/>
    <col min="64" max="64" width="12.7109375" customWidth="1"/>
    <col min="65" max="65" width="9.7109375" customWidth="1"/>
    <col min="66" max="66" width="12.7109375" customWidth="1"/>
    <col min="67" max="67" width="9.7109375" customWidth="1"/>
    <col min="68" max="68" width="12.7109375" customWidth="1"/>
    <col min="69" max="69" width="9.7109375" customWidth="1"/>
    <col min="70" max="70" width="12.7109375" customWidth="1"/>
    <col min="71" max="71" width="9.7109375" customWidth="1"/>
    <col min="72" max="72" width="12.7109375" customWidth="1"/>
    <col min="73" max="73" width="9.7109375" customWidth="1"/>
    <col min="74" max="74" width="12.7109375" customWidth="1"/>
    <col min="75" max="75" width="9.7109375" customWidth="1"/>
    <col min="76" max="76" width="12.7109375" customWidth="1"/>
    <col min="77" max="77" width="9.7109375" customWidth="1"/>
    <col min="78" max="78" width="12.7109375" customWidth="1"/>
    <col min="79" max="79" width="9.7109375" customWidth="1"/>
    <col min="80" max="80" width="12.7109375" customWidth="1"/>
    <col min="81" max="81" width="9.7109375" customWidth="1"/>
    <col min="82" max="82" width="12.7109375" customWidth="1"/>
    <col min="83" max="83" width="9.7109375" customWidth="1"/>
    <col min="84" max="84" width="12.7109375" customWidth="1"/>
    <col min="85" max="85" width="9.7109375" customWidth="1"/>
    <col min="86" max="86" width="12.7109375" customWidth="1"/>
    <col min="87" max="87" width="9.7109375" customWidth="1"/>
    <col min="88" max="88" width="12.7109375" customWidth="1"/>
    <col min="89" max="89" width="9.7109375" customWidth="1"/>
    <col min="90" max="90" width="12.7109375" customWidth="1"/>
    <col min="91" max="91" width="9.7109375" customWidth="1"/>
    <col min="92" max="92" width="12.7109375" customWidth="1"/>
    <col min="93" max="93" width="9.7109375" customWidth="1"/>
    <col min="94" max="94" width="12.7109375" customWidth="1"/>
    <col min="95" max="95" width="9.7109375" customWidth="1"/>
    <col min="96" max="96" width="12.7109375" customWidth="1"/>
    <col min="97" max="97" width="9.7109375" customWidth="1"/>
    <col min="98" max="98" width="12.7109375" customWidth="1"/>
    <col min="99" max="99" width="9.7109375" customWidth="1"/>
    <col min="100" max="100" width="12.7109375" customWidth="1"/>
    <col min="101" max="101" width="9.7109375" customWidth="1"/>
    <col min="102" max="102" width="12.7109375" customWidth="1"/>
    <col min="103" max="103" width="9.7109375" customWidth="1"/>
    <col min="104" max="104" width="12.7109375" customWidth="1"/>
    <col min="105" max="105" width="9.7109375" customWidth="1"/>
    <col min="106" max="106" width="12.7109375" customWidth="1"/>
    <col min="107" max="107" width="9.7109375" customWidth="1"/>
    <col min="108" max="108" width="12.7109375" customWidth="1"/>
    <col min="109" max="109" width="9.7109375" customWidth="1"/>
    <col min="110" max="110" width="2.85546875" customWidth="1"/>
  </cols>
  <sheetData>
    <row r="1" spans="2:110" ht="8.25" customHeight="1" x14ac:dyDescent="0.25"/>
    <row r="2" spans="2:110" ht="21" x14ac:dyDescent="0.35">
      <c r="B2" s="57" t="s">
        <v>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</row>
    <row r="3" spans="2:110" ht="18.75" x14ac:dyDescent="0.3">
      <c r="B3" s="58" t="s">
        <v>34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</row>
    <row r="4" spans="2:110" ht="18.75" x14ac:dyDescent="0.3">
      <c r="B4" s="58" t="s">
        <v>35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</row>
    <row r="5" spans="2:110" ht="18.75" x14ac:dyDescent="0.3">
      <c r="B5" s="58" t="s">
        <v>36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</row>
    <row r="6" spans="2:110" hidden="1" x14ac:dyDescent="0.25"/>
    <row r="7" spans="2:110" x14ac:dyDescent="0.25">
      <c r="C7" s="47" t="s">
        <v>30</v>
      </c>
      <c r="D7" s="54">
        <v>201901</v>
      </c>
      <c r="E7" s="54"/>
      <c r="F7" s="17">
        <v>201901</v>
      </c>
      <c r="G7" s="17"/>
      <c r="H7" s="17">
        <v>201901</v>
      </c>
      <c r="I7" s="17"/>
      <c r="J7" s="17">
        <v>201901</v>
      </c>
      <c r="K7" s="17"/>
      <c r="L7" s="17">
        <v>201902</v>
      </c>
      <c r="M7" s="17"/>
      <c r="N7" s="17">
        <v>201902</v>
      </c>
      <c r="O7" s="17"/>
      <c r="P7" s="17">
        <v>201902</v>
      </c>
      <c r="Q7" s="17"/>
      <c r="R7" s="17">
        <v>201902</v>
      </c>
      <c r="S7" s="17"/>
      <c r="T7" s="17">
        <v>201903</v>
      </c>
      <c r="U7" s="17"/>
      <c r="V7" s="17">
        <v>201903</v>
      </c>
      <c r="W7" s="17"/>
      <c r="X7" s="17">
        <v>201903</v>
      </c>
      <c r="Y7" s="17"/>
      <c r="Z7" s="17">
        <v>201903</v>
      </c>
      <c r="AA7" s="17"/>
      <c r="AB7" s="17">
        <v>201903</v>
      </c>
      <c r="AC7" s="17"/>
      <c r="AD7" s="17">
        <v>201904</v>
      </c>
      <c r="AE7" s="17"/>
      <c r="AF7" s="17">
        <v>201904</v>
      </c>
      <c r="AG7" s="17"/>
      <c r="AH7" s="17">
        <v>201904</v>
      </c>
      <c r="AI7" s="17"/>
      <c r="AJ7" s="17">
        <v>201904</v>
      </c>
      <c r="AK7" s="17"/>
      <c r="AL7" s="17">
        <v>201905</v>
      </c>
      <c r="AM7" s="17"/>
      <c r="AN7" s="17">
        <v>201905</v>
      </c>
      <c r="AO7" s="17"/>
      <c r="AP7" s="17">
        <v>201905</v>
      </c>
      <c r="AQ7" s="17"/>
      <c r="AR7" s="17">
        <v>201905</v>
      </c>
      <c r="AS7" s="17"/>
      <c r="AT7" s="17">
        <v>201906</v>
      </c>
      <c r="AU7" s="17"/>
      <c r="AV7" s="17">
        <v>201906</v>
      </c>
      <c r="AW7" s="17"/>
      <c r="AX7" s="17">
        <v>201906</v>
      </c>
      <c r="AY7" s="17"/>
      <c r="AZ7" s="17">
        <v>201906</v>
      </c>
      <c r="BA7" s="17"/>
      <c r="BB7" s="17">
        <v>201906</v>
      </c>
      <c r="BC7" s="17"/>
      <c r="BD7" s="17">
        <v>201907</v>
      </c>
      <c r="BE7" s="17"/>
      <c r="BF7" s="17">
        <v>201907</v>
      </c>
      <c r="BG7" s="17"/>
      <c r="BH7" s="17">
        <v>201907</v>
      </c>
      <c r="BI7" s="17"/>
      <c r="BJ7" s="17">
        <v>201907</v>
      </c>
      <c r="BK7" s="17"/>
      <c r="BL7" s="17">
        <v>201908</v>
      </c>
      <c r="BM7" s="17"/>
      <c r="BN7" s="17">
        <v>201908</v>
      </c>
      <c r="BO7" s="17"/>
      <c r="BP7" s="17">
        <v>201908</v>
      </c>
      <c r="BQ7" s="17"/>
      <c r="BR7" s="17">
        <v>201908</v>
      </c>
      <c r="BS7" s="17"/>
      <c r="BT7" s="17">
        <v>201909</v>
      </c>
      <c r="BU7" s="17"/>
      <c r="BV7" s="17">
        <v>201909</v>
      </c>
      <c r="BW7" s="17"/>
      <c r="BX7" s="17">
        <v>201909</v>
      </c>
      <c r="BY7" s="17"/>
      <c r="BZ7" s="17">
        <v>201909</v>
      </c>
      <c r="CA7" s="17"/>
      <c r="CB7" s="17">
        <v>201909</v>
      </c>
      <c r="CC7" s="17"/>
      <c r="CD7" s="17">
        <v>201910</v>
      </c>
      <c r="CE7" s="17"/>
      <c r="CF7" s="17">
        <v>201910</v>
      </c>
      <c r="CG7" s="17"/>
      <c r="CH7" s="17">
        <v>201910</v>
      </c>
      <c r="CI7" s="17"/>
      <c r="CJ7" s="17">
        <v>201910</v>
      </c>
      <c r="CK7" s="17"/>
      <c r="CL7" s="17">
        <v>201911</v>
      </c>
      <c r="CM7" s="17"/>
      <c r="CN7" s="17">
        <v>201911</v>
      </c>
      <c r="CO7" s="17"/>
      <c r="CP7" s="17">
        <v>201911</v>
      </c>
      <c r="CQ7" s="17"/>
      <c r="CR7" s="17">
        <v>201911</v>
      </c>
      <c r="CS7" s="17"/>
      <c r="CT7" s="17">
        <v>201912</v>
      </c>
      <c r="CU7" s="17"/>
      <c r="CV7" s="17">
        <v>201912</v>
      </c>
      <c r="CW7" s="17"/>
      <c r="CX7" s="17">
        <v>201912</v>
      </c>
      <c r="CY7" s="17"/>
      <c r="CZ7" s="17">
        <v>201912</v>
      </c>
      <c r="DA7" s="17"/>
      <c r="DB7" s="17">
        <v>201912</v>
      </c>
      <c r="DC7" s="17"/>
    </row>
    <row r="8" spans="2:110" x14ac:dyDescent="0.25">
      <c r="C8" s="47" t="s">
        <v>31</v>
      </c>
      <c r="D8" s="54">
        <v>1</v>
      </c>
      <c r="E8" s="54"/>
      <c r="F8" s="17">
        <v>2</v>
      </c>
      <c r="G8" s="17"/>
      <c r="H8" s="17">
        <v>3</v>
      </c>
      <c r="I8" s="17"/>
      <c r="J8" s="17">
        <v>4</v>
      </c>
      <c r="K8" s="17"/>
      <c r="L8" s="17">
        <v>5</v>
      </c>
      <c r="M8" s="17"/>
      <c r="N8" s="17">
        <v>6</v>
      </c>
      <c r="O8" s="17"/>
      <c r="P8" s="17">
        <v>7</v>
      </c>
      <c r="Q8" s="17"/>
      <c r="R8" s="17">
        <v>8</v>
      </c>
      <c r="S8" s="17"/>
      <c r="T8" s="17">
        <v>9</v>
      </c>
      <c r="U8" s="17"/>
      <c r="V8" s="17">
        <v>10</v>
      </c>
      <c r="W8" s="17"/>
      <c r="X8" s="17">
        <v>11</v>
      </c>
      <c r="Y8" s="17"/>
      <c r="Z8" s="17">
        <v>12</v>
      </c>
      <c r="AA8" s="17"/>
      <c r="AB8" s="17">
        <v>13</v>
      </c>
      <c r="AC8" s="17"/>
      <c r="AD8" s="17">
        <v>14</v>
      </c>
      <c r="AE8" s="17"/>
      <c r="AF8" s="17">
        <v>15</v>
      </c>
      <c r="AG8" s="17"/>
      <c r="AH8" s="17">
        <v>16</v>
      </c>
      <c r="AI8" s="17"/>
      <c r="AJ8" s="17">
        <v>17</v>
      </c>
      <c r="AK8" s="17"/>
      <c r="AL8" s="17">
        <v>18</v>
      </c>
      <c r="AM8" s="17"/>
      <c r="AN8" s="17">
        <v>19</v>
      </c>
      <c r="AO8" s="17"/>
      <c r="AP8" s="17">
        <v>20</v>
      </c>
      <c r="AQ8" s="17"/>
      <c r="AR8" s="17">
        <v>21</v>
      </c>
      <c r="AS8" s="17"/>
      <c r="AT8" s="17">
        <v>22</v>
      </c>
      <c r="AU8" s="17"/>
      <c r="AV8" s="17">
        <v>23</v>
      </c>
      <c r="AW8" s="17"/>
      <c r="AX8" s="17">
        <v>24</v>
      </c>
      <c r="AY8" s="17"/>
      <c r="AZ8" s="17">
        <v>25</v>
      </c>
      <c r="BA8" s="17"/>
      <c r="BB8" s="17">
        <v>26</v>
      </c>
      <c r="BC8" s="17"/>
      <c r="BD8" s="17">
        <v>27</v>
      </c>
      <c r="BE8" s="17"/>
      <c r="BF8" s="17">
        <v>28</v>
      </c>
      <c r="BG8" s="17"/>
      <c r="BH8" s="17">
        <v>29</v>
      </c>
      <c r="BI8" s="17"/>
      <c r="BJ8" s="17">
        <v>30</v>
      </c>
      <c r="BK8" s="17"/>
      <c r="BL8" s="17">
        <v>31</v>
      </c>
      <c r="BM8" s="17"/>
      <c r="BN8" s="17">
        <v>32</v>
      </c>
      <c r="BO8" s="17"/>
      <c r="BP8" s="17">
        <v>33</v>
      </c>
      <c r="BQ8" s="17"/>
      <c r="BR8" s="17">
        <v>34</v>
      </c>
      <c r="BS8" s="17"/>
      <c r="BT8" s="17">
        <v>35</v>
      </c>
      <c r="BU8" s="17"/>
      <c r="BV8" s="17">
        <v>36</v>
      </c>
      <c r="BW8" s="17"/>
      <c r="BX8" s="17">
        <v>37</v>
      </c>
      <c r="BY8" s="17"/>
      <c r="BZ8" s="17">
        <v>38</v>
      </c>
      <c r="CA8" s="17"/>
      <c r="CB8" s="17">
        <v>39</v>
      </c>
      <c r="CC8" s="17"/>
      <c r="CD8" s="17">
        <v>40</v>
      </c>
      <c r="CE8" s="17"/>
      <c r="CF8" s="17">
        <v>41</v>
      </c>
      <c r="CG8" s="17"/>
      <c r="CH8" s="17">
        <v>42</v>
      </c>
      <c r="CI8" s="17"/>
      <c r="CJ8" s="17">
        <v>43</v>
      </c>
      <c r="CK8" s="17"/>
      <c r="CL8" s="17">
        <v>44</v>
      </c>
      <c r="CM8" s="17"/>
      <c r="CN8" s="17">
        <v>45</v>
      </c>
      <c r="CO8" s="17"/>
      <c r="CP8" s="17">
        <v>46</v>
      </c>
      <c r="CQ8" s="17"/>
      <c r="CR8" s="17">
        <v>47</v>
      </c>
      <c r="CS8" s="17"/>
      <c r="CT8" s="17">
        <v>48</v>
      </c>
      <c r="CU8" s="17"/>
      <c r="CV8" s="17">
        <v>49</v>
      </c>
      <c r="CW8" s="17"/>
      <c r="CX8" s="17">
        <v>50</v>
      </c>
      <c r="CY8" s="17"/>
      <c r="CZ8" s="17">
        <v>51</v>
      </c>
      <c r="DA8" s="17"/>
      <c r="DB8" s="17">
        <v>52</v>
      </c>
      <c r="DC8" s="17"/>
    </row>
    <row r="9" spans="2:110" ht="21.75" customHeight="1" x14ac:dyDescent="0.25">
      <c r="B9" s="39" t="s">
        <v>0</v>
      </c>
      <c r="C9" s="39" t="s">
        <v>1</v>
      </c>
      <c r="D9" s="27"/>
      <c r="E9" s="25"/>
      <c r="F9" s="27"/>
      <c r="G9" s="25"/>
      <c r="H9" s="27"/>
      <c r="I9" s="25"/>
      <c r="J9" s="27"/>
      <c r="K9" s="25"/>
      <c r="L9" s="27"/>
      <c r="M9" s="25"/>
      <c r="N9" s="27"/>
      <c r="O9" s="25"/>
      <c r="P9" s="27"/>
      <c r="Q9" s="25"/>
      <c r="R9" s="27"/>
      <c r="S9" s="25"/>
      <c r="T9" s="27"/>
      <c r="U9" s="25"/>
      <c r="V9" s="27"/>
      <c r="W9" s="25"/>
      <c r="X9" s="27"/>
      <c r="Y9" s="25"/>
      <c r="Z9" s="27"/>
      <c r="AA9" s="25"/>
      <c r="AB9" s="27"/>
      <c r="AC9" s="25"/>
      <c r="AD9" s="27"/>
      <c r="AE9" s="25"/>
      <c r="AF9" s="27"/>
      <c r="AG9" s="25"/>
      <c r="AH9" s="27"/>
      <c r="AI9" s="25"/>
      <c r="AJ9" s="27"/>
      <c r="AK9" s="25"/>
      <c r="AL9" s="27"/>
      <c r="AM9" s="25"/>
      <c r="AN9" s="27"/>
      <c r="AO9" s="25"/>
      <c r="AP9" s="27"/>
      <c r="AQ9" s="25"/>
      <c r="AR9" s="27"/>
      <c r="AS9" s="25"/>
      <c r="AT9" s="27"/>
      <c r="AU9" s="25"/>
      <c r="AV9" s="27"/>
      <c r="AW9" s="25"/>
      <c r="AX9" s="27"/>
      <c r="AY9" s="25"/>
      <c r="AZ9" s="27"/>
      <c r="BA9" s="25"/>
      <c r="BB9" s="27"/>
      <c r="BC9" s="25"/>
      <c r="BD9" s="27"/>
      <c r="BE9" s="25"/>
      <c r="BF9" s="27"/>
      <c r="BG9" s="25"/>
      <c r="BH9" s="27"/>
      <c r="BI9" s="25"/>
      <c r="BJ9" s="27"/>
      <c r="BK9" s="25"/>
      <c r="BL9" s="27"/>
      <c r="BM9" s="25"/>
      <c r="BN9" s="27"/>
      <c r="BO9" s="25"/>
      <c r="BP9" s="27"/>
      <c r="BQ9" s="25"/>
      <c r="BR9" s="27"/>
      <c r="BS9" s="25"/>
      <c r="BT9" s="27"/>
      <c r="BU9" s="25"/>
      <c r="BV9" s="27"/>
      <c r="BW9" s="25"/>
      <c r="BX9" s="27"/>
      <c r="BY9" s="25"/>
      <c r="BZ9" s="27"/>
      <c r="CA9" s="25"/>
      <c r="CB9" s="27"/>
      <c r="CC9" s="25"/>
      <c r="CD9" s="27"/>
      <c r="CE9" s="25"/>
      <c r="CF9" s="27"/>
      <c r="CG9" s="25"/>
      <c r="CH9" s="27"/>
      <c r="CI9" s="25"/>
      <c r="CJ9" s="27"/>
      <c r="CK9" s="25"/>
      <c r="CL9" s="27"/>
      <c r="CM9" s="25"/>
      <c r="CN9" s="27"/>
      <c r="CO9" s="25"/>
      <c r="CP9" s="27"/>
      <c r="CQ9" s="25"/>
      <c r="CR9" s="27"/>
      <c r="CS9" s="25"/>
      <c r="CT9" s="27"/>
      <c r="CU9" s="25"/>
      <c r="CV9" s="27"/>
      <c r="CW9" s="25"/>
      <c r="CX9" s="27"/>
      <c r="CY9" s="25"/>
      <c r="CZ9" s="27"/>
      <c r="DA9" s="25"/>
      <c r="DB9" s="27"/>
      <c r="DC9" s="25"/>
      <c r="DD9" s="55" t="s">
        <v>32</v>
      </c>
      <c r="DE9" s="56"/>
      <c r="DF9" s="41"/>
    </row>
    <row r="10" spans="2:110" ht="7.5" customHeight="1" x14ac:dyDescent="0.25">
      <c r="D10" s="11"/>
      <c r="E10" s="9"/>
      <c r="F10" s="11"/>
      <c r="G10" s="9"/>
      <c r="H10" s="11"/>
      <c r="I10" s="9"/>
      <c r="J10" s="11"/>
      <c r="K10" s="9"/>
      <c r="L10" s="11"/>
      <c r="M10" s="9"/>
      <c r="N10" s="11"/>
      <c r="O10" s="9"/>
      <c r="P10" s="11"/>
      <c r="Q10" s="9"/>
      <c r="R10" s="11"/>
      <c r="S10" s="9"/>
      <c r="T10" s="11"/>
      <c r="U10" s="9"/>
      <c r="V10" s="11"/>
      <c r="W10" s="9"/>
      <c r="X10" s="11"/>
      <c r="Y10" s="9"/>
      <c r="Z10" s="11"/>
      <c r="AA10" s="9"/>
      <c r="AB10" s="11"/>
      <c r="AC10" s="9"/>
      <c r="AD10" s="11"/>
      <c r="AE10" s="9"/>
      <c r="AF10" s="11"/>
      <c r="AG10" s="9"/>
      <c r="AH10" s="11"/>
      <c r="AI10" s="9"/>
      <c r="AJ10" s="11"/>
      <c r="AK10" s="9"/>
      <c r="AL10" s="11"/>
      <c r="AM10" s="9"/>
      <c r="AN10" s="11"/>
      <c r="AO10" s="9"/>
      <c r="AP10" s="11"/>
      <c r="AQ10" s="9"/>
      <c r="AR10" s="11"/>
      <c r="AS10" s="9"/>
      <c r="AT10" s="11"/>
      <c r="AU10" s="9"/>
      <c r="AV10" s="11"/>
      <c r="AW10" s="9"/>
      <c r="AX10" s="11"/>
      <c r="AY10" s="9"/>
      <c r="AZ10" s="11"/>
      <c r="BA10" s="9"/>
      <c r="BB10" s="11"/>
      <c r="BC10" s="9"/>
      <c r="BD10" s="11"/>
      <c r="BE10" s="9"/>
      <c r="BF10" s="11"/>
      <c r="BG10" s="9"/>
      <c r="BH10" s="11"/>
      <c r="BI10" s="9"/>
      <c r="BJ10" s="11"/>
      <c r="BK10" s="9"/>
      <c r="BL10" s="11"/>
      <c r="BM10" s="9"/>
      <c r="BN10" s="11"/>
      <c r="BO10" s="9"/>
      <c r="BP10" s="11"/>
      <c r="BQ10" s="9"/>
      <c r="BR10" s="11"/>
      <c r="BS10" s="9"/>
      <c r="BT10" s="11"/>
      <c r="BU10" s="9"/>
      <c r="BV10" s="11"/>
      <c r="BW10" s="9"/>
      <c r="BX10" s="11"/>
      <c r="BY10" s="9"/>
      <c r="BZ10" s="11"/>
      <c r="CA10" s="9"/>
      <c r="CB10" s="11"/>
      <c r="CC10" s="9"/>
      <c r="CD10" s="11"/>
      <c r="CE10" s="9"/>
      <c r="CF10" s="11"/>
      <c r="CG10" s="9"/>
      <c r="CH10" s="11"/>
      <c r="CI10" s="9"/>
      <c r="CJ10" s="11"/>
      <c r="CK10" s="9"/>
      <c r="CL10" s="11"/>
      <c r="CM10" s="9"/>
      <c r="CN10" s="11"/>
      <c r="CO10" s="9"/>
      <c r="CP10" s="11"/>
      <c r="CQ10" s="9"/>
      <c r="CR10" s="11"/>
      <c r="CS10" s="9"/>
      <c r="CT10" s="11"/>
      <c r="CU10" s="9"/>
      <c r="CV10" s="11"/>
      <c r="CW10" s="9"/>
      <c r="CX10" s="11"/>
      <c r="CY10" s="9"/>
      <c r="CZ10" s="11"/>
      <c r="DA10" s="9"/>
      <c r="DB10" s="11"/>
      <c r="DC10" s="9"/>
      <c r="DD10" s="11"/>
      <c r="DE10" s="9"/>
    </row>
    <row r="11" spans="2:110" ht="15.75" thickBot="1" x14ac:dyDescent="0.3">
      <c r="C11" s="46" t="s">
        <v>19</v>
      </c>
      <c r="D11" s="24">
        <f>IFERROR(-37757*-1,0)</f>
        <v>37757</v>
      </c>
      <c r="E11" s="18">
        <f>IFERROR(D11/D11,0)</f>
        <v>1</v>
      </c>
      <c r="F11" s="24">
        <f>IFERROR(-37847*-1,0)</f>
        <v>37847</v>
      </c>
      <c r="G11" s="18">
        <f>IFERROR(F11/F11,0)</f>
        <v>1</v>
      </c>
      <c r="H11" s="24">
        <f>IFERROR(-32677*-1,0)</f>
        <v>32677</v>
      </c>
      <c r="I11" s="18">
        <f>IFERROR(H11/H11,0)</f>
        <v>1</v>
      </c>
      <c r="J11" s="24">
        <f>IFERROR(-38193*-1,0)</f>
        <v>38193</v>
      </c>
      <c r="K11" s="18">
        <f>IFERROR(J11/J11,0)</f>
        <v>1</v>
      </c>
      <c r="L11" s="24">
        <f>IFERROR(-40462*-1,0)</f>
        <v>40462</v>
      </c>
      <c r="M11" s="18">
        <f>IFERROR(L11/L11,0)</f>
        <v>1</v>
      </c>
      <c r="N11" s="24">
        <f>IFERROR(-40158*-1,0)</f>
        <v>40158</v>
      </c>
      <c r="O11" s="18">
        <f>IFERROR(N11/N11,0)</f>
        <v>1</v>
      </c>
      <c r="P11" s="24">
        <f>IFERROR(-55475*-1,0)</f>
        <v>55475</v>
      </c>
      <c r="Q11" s="18">
        <f>IFERROR(P11/P11,0)</f>
        <v>1</v>
      </c>
      <c r="R11" s="24">
        <f>IFERROR(-54945*-1,0)</f>
        <v>54945</v>
      </c>
      <c r="S11" s="18">
        <f>IFERROR(R11/R11,0)</f>
        <v>1</v>
      </c>
      <c r="T11" s="24">
        <f>IFERROR(-54055*-1,0)</f>
        <v>54055</v>
      </c>
      <c r="U11" s="18">
        <f>IFERROR(T11/T11,0)</f>
        <v>1</v>
      </c>
      <c r="V11" s="24">
        <f>IFERROR(-55845*-1,0)</f>
        <v>55845</v>
      </c>
      <c r="W11" s="18">
        <f>IFERROR(V11/V11,0)</f>
        <v>1</v>
      </c>
      <c r="X11" s="24">
        <f>IFERROR(-53102*-1,0)</f>
        <v>53102</v>
      </c>
      <c r="Y11" s="18">
        <f>IFERROR(X11/X11,0)</f>
        <v>1</v>
      </c>
      <c r="Z11" s="24">
        <f>IFERROR(-50550*-1,0)</f>
        <v>50550</v>
      </c>
      <c r="AA11" s="18">
        <f>IFERROR(Z11/Z11,0)</f>
        <v>1</v>
      </c>
      <c r="AB11" s="24">
        <f>IFERROR(-52812*-1,0)</f>
        <v>52812</v>
      </c>
      <c r="AC11" s="18">
        <f>IFERROR(AB11/AB11,0)</f>
        <v>1</v>
      </c>
      <c r="AD11" s="24">
        <f>IFERROR(-48026*-1,0)</f>
        <v>48026</v>
      </c>
      <c r="AE11" s="18">
        <f>IFERROR(AD11/AD11,0)</f>
        <v>1</v>
      </c>
      <c r="AF11" s="24">
        <f>IFERROR(-49378*-1,0)</f>
        <v>49378</v>
      </c>
      <c r="AG11" s="18">
        <f>IFERROR(AF11/AF11,0)</f>
        <v>1</v>
      </c>
      <c r="AH11" s="24">
        <f>IFERROR(-40193*-1,0)</f>
        <v>40193</v>
      </c>
      <c r="AI11" s="18">
        <f>IFERROR(AH11/AH11,0)</f>
        <v>1</v>
      </c>
      <c r="AJ11" s="24">
        <f>IFERROR(-48141*-1,0)</f>
        <v>48141</v>
      </c>
      <c r="AK11" s="18">
        <f>IFERROR(AJ11/AJ11,0)</f>
        <v>1</v>
      </c>
      <c r="AL11" s="24">
        <f>IFERROR(-44913*-1,0)</f>
        <v>44913</v>
      </c>
      <c r="AM11" s="18">
        <f>IFERROR(AL11/AL11,0)</f>
        <v>1</v>
      </c>
      <c r="AN11" s="24">
        <f>IFERROR(-54725*-1,0)</f>
        <v>54725</v>
      </c>
      <c r="AO11" s="18">
        <f>IFERROR(AN11/AN11,0)</f>
        <v>1</v>
      </c>
      <c r="AP11" s="24">
        <f>IFERROR(-49225*-1,0)</f>
        <v>49225</v>
      </c>
      <c r="AQ11" s="18">
        <f>IFERROR(AP11/AP11,0)</f>
        <v>1</v>
      </c>
      <c r="AR11" s="24">
        <f>IFERROR(-50857*-1,0)</f>
        <v>50857</v>
      </c>
      <c r="AS11" s="18">
        <f>IFERROR(AR11/AR11,0)</f>
        <v>1</v>
      </c>
      <c r="AT11" s="24">
        <f>IFERROR(-48178*-1,0)</f>
        <v>48178</v>
      </c>
      <c r="AU11" s="18">
        <f>IFERROR(AT11/AT11,0)</f>
        <v>1</v>
      </c>
      <c r="AV11" s="24">
        <f>IFERROR(-41211*-1,0)</f>
        <v>41211</v>
      </c>
      <c r="AW11" s="18">
        <f>IFERROR(AV11/AV11,0)</f>
        <v>1</v>
      </c>
      <c r="AX11" s="24">
        <f>IFERROR(-51462*-1,0)</f>
        <v>51462</v>
      </c>
      <c r="AY11" s="18">
        <f>IFERROR(AX11/AX11,0)</f>
        <v>1</v>
      </c>
      <c r="AZ11" s="24">
        <f>IFERROR(-41595*-1,0)</f>
        <v>41595</v>
      </c>
      <c r="BA11" s="18">
        <f>IFERROR(AZ11/AZ11,0)</f>
        <v>1</v>
      </c>
      <c r="BB11" s="24">
        <f>IFERROR(-43409*-1,0)</f>
        <v>43409</v>
      </c>
      <c r="BC11" s="18">
        <f>IFERROR(BB11/BB11,0)</f>
        <v>1</v>
      </c>
      <c r="BD11" s="24">
        <f>IFERROR(-39907*-1,0)</f>
        <v>39907</v>
      </c>
      <c r="BE11" s="18">
        <f>IFERROR(BD11/BD11,0)</f>
        <v>1</v>
      </c>
      <c r="BF11" s="24">
        <f>IFERROR(-38951*-1,0)</f>
        <v>38951</v>
      </c>
      <c r="BG11" s="18">
        <f>IFERROR(BF11/BF11,0)</f>
        <v>1</v>
      </c>
      <c r="BH11" s="24">
        <f>IFERROR(-37712*-1,0)</f>
        <v>37712</v>
      </c>
      <c r="BI11" s="18">
        <f>IFERROR(BH11/BH11,0)</f>
        <v>1</v>
      </c>
      <c r="BJ11" s="24">
        <f>IFERROR(-38685*-1,0)</f>
        <v>38685</v>
      </c>
      <c r="BK11" s="18">
        <f>IFERROR(BJ11/BJ11,0)</f>
        <v>1</v>
      </c>
      <c r="BL11" s="24">
        <f>IFERROR(-42763*-1,0)</f>
        <v>42763</v>
      </c>
      <c r="BM11" s="18">
        <f>IFERROR(BL11/BL11,0)</f>
        <v>1</v>
      </c>
      <c r="BN11" s="24">
        <f>IFERROR(-40069*-1,0)</f>
        <v>40069</v>
      </c>
      <c r="BO11" s="18">
        <f>IFERROR(BN11/BN11,0)</f>
        <v>1</v>
      </c>
      <c r="BP11" s="24">
        <f>IFERROR(-35454*-1,0)</f>
        <v>35454</v>
      </c>
      <c r="BQ11" s="18">
        <f>IFERROR(BP11/BP11,0)</f>
        <v>1</v>
      </c>
      <c r="BR11" s="24">
        <f>IFERROR(-33179*-1,0)</f>
        <v>33179</v>
      </c>
      <c r="BS11" s="18">
        <f>IFERROR(BR11/BR11,0)</f>
        <v>1</v>
      </c>
      <c r="BT11" s="24">
        <f>IFERROR(-42665*-1,0)</f>
        <v>42665</v>
      </c>
      <c r="BU11" s="18">
        <f>IFERROR(BT11/BT11,0)</f>
        <v>1</v>
      </c>
      <c r="BV11" s="24">
        <f>IFERROR(-34240*-1,0)</f>
        <v>34240</v>
      </c>
      <c r="BW11" s="18">
        <f>IFERROR(BV11/BV11,0)</f>
        <v>1</v>
      </c>
      <c r="BX11" s="24">
        <f>IFERROR(-37278*-1,0)</f>
        <v>37278</v>
      </c>
      <c r="BY11" s="18">
        <f>IFERROR(BX11/BX11,0)</f>
        <v>1</v>
      </c>
      <c r="BZ11" s="24">
        <f>IFERROR(-32836*-1,0)</f>
        <v>32836</v>
      </c>
      <c r="CA11" s="18">
        <f>IFERROR(BZ11/BZ11,0)</f>
        <v>1</v>
      </c>
      <c r="CB11" s="24">
        <f>IFERROR(-37206*-1,0)</f>
        <v>37206</v>
      </c>
      <c r="CC11" s="18">
        <f>IFERROR(CB11/CB11,0)</f>
        <v>1</v>
      </c>
      <c r="CD11" s="24">
        <f>IFERROR(-37350*-1,0)</f>
        <v>37350</v>
      </c>
      <c r="CE11" s="18">
        <f>IFERROR(CD11/CD11,0)</f>
        <v>1</v>
      </c>
      <c r="CF11" s="24">
        <f>IFERROR(-38220*-1,0)</f>
        <v>38220</v>
      </c>
      <c r="CG11" s="18">
        <f>IFERROR(CF11/CF11,0)</f>
        <v>1</v>
      </c>
      <c r="CH11" s="24">
        <f>IFERROR(-39152*-1,0)</f>
        <v>39152</v>
      </c>
      <c r="CI11" s="18">
        <f>IFERROR(CH11/CH11,0)</f>
        <v>1</v>
      </c>
      <c r="CJ11" s="24">
        <f>IFERROR(-41650*-1,0)</f>
        <v>41650</v>
      </c>
      <c r="CK11" s="18">
        <f>IFERROR(CJ11/CJ11,0)</f>
        <v>1</v>
      </c>
      <c r="CL11" s="24">
        <f>IFERROR(-45079*-1,0)</f>
        <v>45079</v>
      </c>
      <c r="CM11" s="18">
        <f>IFERROR(CL11/CL11,0)</f>
        <v>1</v>
      </c>
      <c r="CN11" s="24">
        <f>IFERROR(-41231*-1,0)</f>
        <v>41231</v>
      </c>
      <c r="CO11" s="18">
        <f>IFERROR(CN11/CN11,0)</f>
        <v>1</v>
      </c>
      <c r="CP11" s="24">
        <f>IFERROR(-39603*-1,0)</f>
        <v>39603</v>
      </c>
      <c r="CQ11" s="18">
        <f>IFERROR(CP11/CP11,0)</f>
        <v>1</v>
      </c>
      <c r="CR11" s="24">
        <f>IFERROR(-32919*-1,0)</f>
        <v>32919</v>
      </c>
      <c r="CS11" s="18">
        <f>IFERROR(CR11/CR11,0)</f>
        <v>1</v>
      </c>
      <c r="CT11" s="24">
        <f>IFERROR(-38215*-1,0)</f>
        <v>38215</v>
      </c>
      <c r="CU11" s="18">
        <f>IFERROR(CT11/CT11,0)</f>
        <v>1</v>
      </c>
      <c r="CV11" s="24">
        <f>IFERROR(-39008*-1,0)</f>
        <v>39008</v>
      </c>
      <c r="CW11" s="18">
        <f>IFERROR(CV11/CV11,0)</f>
        <v>1</v>
      </c>
      <c r="CX11" s="24">
        <f>IFERROR(-45085*-1,0)</f>
        <v>45085</v>
      </c>
      <c r="CY11" s="18">
        <f>IFERROR(CX11/CX11,0)</f>
        <v>1</v>
      </c>
      <c r="CZ11" s="24">
        <f>IFERROR(-45923*-1,0)</f>
        <v>45923</v>
      </c>
      <c r="DA11" s="18">
        <f>IFERROR(CZ11/CZ11,0)</f>
        <v>1</v>
      </c>
      <c r="DB11" s="24">
        <f>IFERROR(-46720*-1,0)</f>
        <v>46720</v>
      </c>
      <c r="DC11" s="18">
        <f>IFERROR(DB11/DB11,0)</f>
        <v>1</v>
      </c>
      <c r="DD11" s="24">
        <f>SUM(OSRRefD11_0x_0)</f>
        <v>2236291</v>
      </c>
      <c r="DE11" s="18">
        <f>IFERROR(DD11/DD11,0)</f>
        <v>1</v>
      </c>
      <c r="DF11" s="50"/>
    </row>
    <row r="12" spans="2:110" ht="15.75" outlineLevel="1" thickTop="1" x14ac:dyDescent="0.25">
      <c r="D12" s="23"/>
      <c r="E12" s="9"/>
      <c r="F12" s="23"/>
      <c r="G12" s="9"/>
      <c r="H12" s="23"/>
      <c r="I12" s="9"/>
      <c r="J12" s="23"/>
      <c r="K12" s="9"/>
      <c r="L12" s="23"/>
      <c r="M12" s="9"/>
      <c r="N12" s="23"/>
      <c r="O12" s="9"/>
      <c r="P12" s="23"/>
      <c r="Q12" s="9"/>
      <c r="R12" s="23"/>
      <c r="S12" s="9"/>
      <c r="T12" s="23"/>
      <c r="U12" s="9"/>
      <c r="V12" s="23"/>
      <c r="W12" s="9"/>
      <c r="X12" s="23"/>
      <c r="Y12" s="9"/>
      <c r="Z12" s="23"/>
      <c r="AA12" s="9"/>
      <c r="AB12" s="23"/>
      <c r="AC12" s="9"/>
      <c r="AD12" s="23"/>
      <c r="AE12" s="9"/>
      <c r="AF12" s="23"/>
      <c r="AG12" s="9"/>
      <c r="AH12" s="23"/>
      <c r="AI12" s="9"/>
      <c r="AJ12" s="23"/>
      <c r="AK12" s="9"/>
      <c r="AL12" s="23"/>
      <c r="AM12" s="9"/>
      <c r="AN12" s="23"/>
      <c r="AO12" s="9"/>
      <c r="AP12" s="23"/>
      <c r="AQ12" s="9"/>
      <c r="AR12" s="23"/>
      <c r="AS12" s="9"/>
      <c r="AT12" s="23"/>
      <c r="AU12" s="9"/>
      <c r="AV12" s="23"/>
      <c r="AW12" s="9"/>
      <c r="AX12" s="23"/>
      <c r="AY12" s="9"/>
      <c r="AZ12" s="23"/>
      <c r="BA12" s="9"/>
      <c r="BB12" s="23"/>
      <c r="BC12" s="9"/>
      <c r="BD12" s="23"/>
      <c r="BE12" s="9"/>
      <c r="BF12" s="23"/>
      <c r="BG12" s="9"/>
      <c r="BH12" s="23"/>
      <c r="BI12" s="9"/>
      <c r="BJ12" s="23"/>
      <c r="BK12" s="9"/>
      <c r="BL12" s="23"/>
      <c r="BM12" s="9"/>
      <c r="BN12" s="23"/>
      <c r="BO12" s="9"/>
      <c r="BP12" s="23"/>
      <c r="BQ12" s="9"/>
      <c r="BR12" s="23"/>
      <c r="BS12" s="9"/>
      <c r="BT12" s="23"/>
      <c r="BU12" s="9"/>
      <c r="BV12" s="23"/>
      <c r="BW12" s="9"/>
      <c r="BX12" s="23"/>
      <c r="BY12" s="9"/>
      <c r="BZ12" s="23"/>
      <c r="CA12" s="9"/>
      <c r="CB12" s="23"/>
      <c r="CC12" s="9"/>
      <c r="CD12" s="23"/>
      <c r="CE12" s="9"/>
      <c r="CF12" s="23"/>
      <c r="CG12" s="9"/>
      <c r="CH12" s="23"/>
      <c r="CI12" s="9"/>
      <c r="CJ12" s="23"/>
      <c r="CK12" s="9"/>
      <c r="CL12" s="23"/>
      <c r="CM12" s="9"/>
      <c r="CN12" s="23"/>
      <c r="CO12" s="9"/>
      <c r="CP12" s="23"/>
      <c r="CQ12" s="9"/>
      <c r="CR12" s="23"/>
      <c r="CS12" s="9"/>
      <c r="CT12" s="23"/>
      <c r="CU12" s="9"/>
      <c r="CV12" s="23"/>
      <c r="CW12" s="9"/>
      <c r="CX12" s="23"/>
      <c r="CY12" s="9"/>
      <c r="CZ12" s="23"/>
      <c r="DA12" s="9"/>
      <c r="DB12" s="23"/>
      <c r="DC12" s="9"/>
      <c r="DD12" s="23"/>
      <c r="DE12" s="9"/>
    </row>
    <row r="13" spans="2:110" outlineLevel="1" x14ac:dyDescent="0.25">
      <c r="B13">
        <v>31005</v>
      </c>
      <c r="C13" t="s">
        <v>33</v>
      </c>
      <c r="D13" s="5">
        <f>IFERROR(-30243*-1,0)</f>
        <v>30243</v>
      </c>
      <c r="E13" s="4">
        <f>IFERROR(D13/D$11,0)</f>
        <v>0.80099054479963983</v>
      </c>
      <c r="F13" s="5">
        <f>IFERROR(-30472*-1,0)</f>
        <v>30472</v>
      </c>
      <c r="G13" s="4">
        <f>IFERROR(F13/F$11,0)</f>
        <v>0.80513647052606552</v>
      </c>
      <c r="H13" s="5">
        <f>IFERROR(-25222*-1,0)</f>
        <v>25222</v>
      </c>
      <c r="I13" s="4">
        <f>IFERROR(H13/H$11,0)</f>
        <v>0.77185788169048564</v>
      </c>
      <c r="J13" s="5">
        <f>IFERROR(-29893*-1,0)</f>
        <v>29893</v>
      </c>
      <c r="K13" s="4">
        <f>IFERROR(J13/J$11,0)</f>
        <v>0.78268269054538786</v>
      </c>
      <c r="L13" s="5">
        <f>IFERROR(-32228*-1,0)</f>
        <v>32228</v>
      </c>
      <c r="M13" s="4">
        <f>IFERROR(L13/L$11,0)</f>
        <v>0.79650042014729872</v>
      </c>
      <c r="N13" s="5">
        <f>IFERROR(-32570*-1,0)</f>
        <v>32570</v>
      </c>
      <c r="O13" s="4">
        <f>IFERROR(N13/N$11,0)</f>
        <v>0.81104636685093878</v>
      </c>
      <c r="P13" s="5">
        <f>IFERROR(-44480*-1,0)</f>
        <v>44480</v>
      </c>
      <c r="Q13" s="4">
        <f>IFERROR(P13/P$11,0)</f>
        <v>0.80180261378999551</v>
      </c>
      <c r="R13" s="5">
        <f>IFERROR(-44328*-1,0)</f>
        <v>44328</v>
      </c>
      <c r="S13" s="4">
        <f>IFERROR(R13/R$11,0)</f>
        <v>0.80677040677040679</v>
      </c>
      <c r="T13" s="5">
        <f>IFERROR(-43746*-1,0)</f>
        <v>43746</v>
      </c>
      <c r="U13" s="4">
        <f>IFERROR(T13/T$11,0)</f>
        <v>0.80928683748034413</v>
      </c>
      <c r="V13" s="5">
        <f>IFERROR(-45112*-1,0)</f>
        <v>45112</v>
      </c>
      <c r="W13" s="4">
        <f>IFERROR(V13/V$11,0)</f>
        <v>0.80780732384277909</v>
      </c>
      <c r="X13" s="5">
        <f>IFERROR(-41917*-1,0)</f>
        <v>41917</v>
      </c>
      <c r="Y13" s="4">
        <f>IFERROR(X13/X$11,0)</f>
        <v>0.7893676321042522</v>
      </c>
      <c r="Z13" s="5">
        <f>IFERROR(-40639*-1,0)</f>
        <v>40639</v>
      </c>
      <c r="AA13" s="4">
        <f>IFERROR(Z13/Z$11,0)</f>
        <v>0.80393669634025722</v>
      </c>
      <c r="AB13" s="5">
        <f>IFERROR(-43171*-1,0)</f>
        <v>43171</v>
      </c>
      <c r="AC13" s="4">
        <f>IFERROR(AB13/AB$11,0)</f>
        <v>0.81744679239566764</v>
      </c>
      <c r="AD13" s="5">
        <f>IFERROR(-38446*-1,0)</f>
        <v>38446</v>
      </c>
      <c r="AE13" s="4">
        <f>IFERROR(AD13/AD$11,0)</f>
        <v>0.80052471577895312</v>
      </c>
      <c r="AF13" s="5">
        <f>IFERROR(-39028*-1,0)</f>
        <v>39028</v>
      </c>
      <c r="AG13" s="4">
        <f>IFERROR(AF13/AF$11,0)</f>
        <v>0.79039248248207705</v>
      </c>
      <c r="AH13" s="5">
        <f>IFERROR(-31767*-1,0)</f>
        <v>31767</v>
      </c>
      <c r="AI13" s="4">
        <f>IFERROR(AH13/AH$11,0)</f>
        <v>0.79036150573482944</v>
      </c>
      <c r="AJ13" s="5">
        <f>IFERROR(-39329*-1,0)</f>
        <v>39329</v>
      </c>
      <c r="AK13" s="4">
        <f>IFERROR(AJ13/AJ$11,0)</f>
        <v>0.81695436322469417</v>
      </c>
      <c r="AL13" s="5">
        <f>IFERROR(-36524*-1,0)</f>
        <v>36524</v>
      </c>
      <c r="AM13" s="4">
        <f>IFERROR(AL13/AL$11,0)</f>
        <v>0.81321666332687637</v>
      </c>
      <c r="AN13" s="5">
        <f>IFERROR(-45561*-1,0)</f>
        <v>45561</v>
      </c>
      <c r="AO13" s="4">
        <f>IFERROR(AN13/AN$11,0)</f>
        <v>0.83254454088624941</v>
      </c>
      <c r="AP13" s="5">
        <f>IFERROR(-39356*-1,0)</f>
        <v>39356</v>
      </c>
      <c r="AQ13" s="4">
        <f>IFERROR(AP13/AP$11,0)</f>
        <v>0.79951244286439815</v>
      </c>
      <c r="AR13" s="5">
        <f>IFERROR(-41541*-1,0)</f>
        <v>41541</v>
      </c>
      <c r="AS13" s="4">
        <f>IFERROR(AR13/AR$11,0)</f>
        <v>0.81681971016772514</v>
      </c>
      <c r="AT13" s="5">
        <f>IFERROR(-39139*-1,0)</f>
        <v>39139</v>
      </c>
      <c r="AU13" s="4">
        <f>IFERROR(AT13/AT$11,0)</f>
        <v>0.81238324546473495</v>
      </c>
      <c r="AV13" s="5">
        <f>IFERROR(-32877*-1,0)</f>
        <v>32877</v>
      </c>
      <c r="AW13" s="4">
        <f>IFERROR(AV13/AV$11,0)</f>
        <v>0.79777243939724829</v>
      </c>
      <c r="AX13" s="5">
        <f>IFERROR(-41397*-1,0)</f>
        <v>41397</v>
      </c>
      <c r="AY13" s="4">
        <f>IFERROR(AX13/AX$11,0)</f>
        <v>0.80441879445027398</v>
      </c>
      <c r="AZ13" s="5">
        <f>IFERROR(-33130*-1,0)</f>
        <v>33130</v>
      </c>
      <c r="BA13" s="4">
        <f>IFERROR(AZ13/AZ$11,0)</f>
        <v>0.79648996273590578</v>
      </c>
      <c r="BB13" s="5">
        <f>IFERROR(-34696*-1,0)</f>
        <v>34696</v>
      </c>
      <c r="BC13" s="4">
        <f>IFERROR(BB13/BB$11,0)</f>
        <v>0.7992812550392776</v>
      </c>
      <c r="BD13" s="5">
        <f>IFERROR(-32569*-1,0)</f>
        <v>32569</v>
      </c>
      <c r="BE13" s="4">
        <f>IFERROR(BD13/BD$11,0)</f>
        <v>0.8161224847771068</v>
      </c>
      <c r="BF13" s="5">
        <f>IFERROR(-31819*-1,0)</f>
        <v>31819</v>
      </c>
      <c r="BG13" s="4">
        <f>IFERROR(BF13/BF$11,0)</f>
        <v>0.8168981540910375</v>
      </c>
      <c r="BH13" s="5">
        <f>IFERROR(-30588*-1,0)</f>
        <v>30588</v>
      </c>
      <c r="BI13" s="4">
        <f>IFERROR(BH13/BH$11,0)</f>
        <v>0.81109461179465425</v>
      </c>
      <c r="BJ13" s="5">
        <f>IFERROR(-31483*-1,0)</f>
        <v>31483</v>
      </c>
      <c r="BK13" s="4">
        <f>IFERROR(BJ13/BJ$11,0)</f>
        <v>0.81382964973503946</v>
      </c>
      <c r="BL13" s="5">
        <f>IFERROR(-35310*-1,0)</f>
        <v>35310</v>
      </c>
      <c r="BM13" s="4">
        <f>IFERROR(BL13/BL$11,0)</f>
        <v>0.82571381802025112</v>
      </c>
      <c r="BN13" s="5">
        <f>IFERROR(-31337*-1,0)</f>
        <v>31337</v>
      </c>
      <c r="BO13" s="4">
        <f>IFERROR(BN13/BN$11,0)</f>
        <v>0.78207591903965656</v>
      </c>
      <c r="BP13" s="5">
        <f>IFERROR(-28151*-1,0)</f>
        <v>28151</v>
      </c>
      <c r="BQ13" s="4">
        <f>IFERROR(BP13/BP$11,0)</f>
        <v>0.79401477971455969</v>
      </c>
      <c r="BR13" s="5">
        <f>IFERROR(-26492*-1,0)</f>
        <v>26492</v>
      </c>
      <c r="BS13" s="4">
        <f>IFERROR(BR13/BR$11,0)</f>
        <v>0.79845685523976007</v>
      </c>
      <c r="BT13" s="5">
        <f>IFERROR(-34578*-1,0)</f>
        <v>34578</v>
      </c>
      <c r="BU13" s="4">
        <f>IFERROR(BT13/BT$11,0)</f>
        <v>0.81045353334114612</v>
      </c>
      <c r="BV13" s="5">
        <f>IFERROR(-27688*-1,0)</f>
        <v>27688</v>
      </c>
      <c r="BW13" s="4">
        <f>IFERROR(BV13/BV$11,0)</f>
        <v>0.80864485981308409</v>
      </c>
      <c r="BX13" s="5">
        <f>IFERROR(-29465*-1,0)</f>
        <v>29465</v>
      </c>
      <c r="BY13" s="4">
        <f>IFERROR(BX13/BX$11,0)</f>
        <v>0.79041257578196256</v>
      </c>
      <c r="BZ13" s="5">
        <f>IFERROR(-25694*-1,0)</f>
        <v>25694</v>
      </c>
      <c r="CA13" s="4">
        <f>IFERROR(BZ13/BZ$11,0)</f>
        <v>0.7824948227555123</v>
      </c>
      <c r="CB13" s="5">
        <f>IFERROR(-29183*-1,0)</f>
        <v>29183</v>
      </c>
      <c r="CC13" s="4">
        <f>IFERROR(CB13/CB$11,0)</f>
        <v>0.78436273719292582</v>
      </c>
      <c r="CD13" s="5">
        <f>IFERROR(-29663*-1,0)</f>
        <v>29663</v>
      </c>
      <c r="CE13" s="4">
        <f>IFERROR(CD13/CD$11,0)</f>
        <v>0.79419009370816596</v>
      </c>
      <c r="CF13" s="5">
        <f>IFERROR(-31248*-1,0)</f>
        <v>31248</v>
      </c>
      <c r="CG13" s="4">
        <f>IFERROR(CF13/CF$11,0)</f>
        <v>0.81758241758241756</v>
      </c>
      <c r="CH13" s="5">
        <f>IFERROR(-31175*-1,0)</f>
        <v>31175</v>
      </c>
      <c r="CI13" s="4">
        <f>IFERROR(CH13/CH$11,0)</f>
        <v>0.79625561912545972</v>
      </c>
      <c r="CJ13" s="5">
        <f>IFERROR(-33406*-1,0)</f>
        <v>33406</v>
      </c>
      <c r="CK13" s="4">
        <f>IFERROR(CJ13/CJ$11,0)</f>
        <v>0.80206482593037209</v>
      </c>
      <c r="CL13" s="5">
        <f>IFERROR(-36203*-1,0)</f>
        <v>36203</v>
      </c>
      <c r="CM13" s="4">
        <f>IFERROR(CL13/CL$11,0)</f>
        <v>0.80310122229863135</v>
      </c>
      <c r="CN13" s="5">
        <f>IFERROR(-33003*-1,0)</f>
        <v>33003</v>
      </c>
      <c r="CO13" s="4">
        <f>IFERROR(CN13/CN$11,0)</f>
        <v>0.80044141543983893</v>
      </c>
      <c r="CP13" s="5">
        <f>IFERROR(-30695*-1,0)</f>
        <v>30695</v>
      </c>
      <c r="CQ13" s="4">
        <f>IFERROR(CP13/CP$11,0)</f>
        <v>0.77506754538797562</v>
      </c>
      <c r="CR13" s="5">
        <f>IFERROR(-26179*-1,0)</f>
        <v>26179</v>
      </c>
      <c r="CS13" s="4">
        <f>IFERROR(CR13/CR$11,0)</f>
        <v>0.79525501989732372</v>
      </c>
      <c r="CT13" s="5">
        <f>IFERROR(-30034*-1,0)</f>
        <v>30034</v>
      </c>
      <c r="CU13" s="4">
        <f>IFERROR(CT13/CT$11,0)</f>
        <v>0.78592175847180423</v>
      </c>
      <c r="CV13" s="5">
        <f>IFERROR(-31498*-1,0)</f>
        <v>31498</v>
      </c>
      <c r="CW13" s="4">
        <f>IFERROR(CV13/CV$11,0)</f>
        <v>0.80747538966365873</v>
      </c>
      <c r="CX13" s="5">
        <f>IFERROR(-35496*-1,0)</f>
        <v>35496</v>
      </c>
      <c r="CY13" s="4">
        <f>IFERROR(CX13/CX$11,0)</f>
        <v>0.78731285349894642</v>
      </c>
      <c r="CZ13" s="5">
        <f>IFERROR(-37248*-1,0)</f>
        <v>37248</v>
      </c>
      <c r="DA13" s="4">
        <f>IFERROR(CZ13/CZ$11,0)</f>
        <v>0.81109683600810056</v>
      </c>
      <c r="DB13" s="5">
        <f>IFERROR(-38665*-1,0)</f>
        <v>38665</v>
      </c>
      <c r="DC13" s="4">
        <f>IFERROR(DB13/DB$11,0)</f>
        <v>0.82758989726027399</v>
      </c>
      <c r="DD13" s="5">
        <f>SUM(OSRRefD13_0x_0)</f>
        <v>1795682</v>
      </c>
      <c r="DE13" s="4">
        <f>IFERROR(DD13/DD$11,0)</f>
        <v>0.80297331608453459</v>
      </c>
    </row>
    <row r="14" spans="2:110" ht="7.5" customHeight="1" x14ac:dyDescent="0.25">
      <c r="D14" s="7"/>
      <c r="E14" s="6"/>
      <c r="F14" s="7"/>
      <c r="G14" s="6"/>
      <c r="H14" s="7"/>
      <c r="I14" s="6"/>
      <c r="J14" s="7"/>
      <c r="K14" s="6"/>
      <c r="L14" s="7"/>
      <c r="M14" s="6"/>
      <c r="N14" s="7"/>
      <c r="O14" s="6"/>
      <c r="P14" s="7"/>
      <c r="Q14" s="6"/>
      <c r="R14" s="7"/>
      <c r="S14" s="6"/>
      <c r="T14" s="7"/>
      <c r="U14" s="6"/>
      <c r="V14" s="7"/>
      <c r="W14" s="6"/>
      <c r="X14" s="7"/>
      <c r="Y14" s="6"/>
      <c r="Z14" s="7"/>
      <c r="AA14" s="6"/>
      <c r="AB14" s="7"/>
      <c r="AC14" s="6"/>
      <c r="AD14" s="7"/>
      <c r="AE14" s="6"/>
      <c r="AF14" s="7"/>
      <c r="AG14" s="6"/>
      <c r="AH14" s="7"/>
      <c r="AI14" s="6"/>
      <c r="AJ14" s="7"/>
      <c r="AK14" s="6"/>
      <c r="AL14" s="7"/>
      <c r="AM14" s="6"/>
      <c r="AN14" s="7"/>
      <c r="AO14" s="6"/>
      <c r="AP14" s="7"/>
      <c r="AQ14" s="6"/>
      <c r="AR14" s="7"/>
      <c r="AS14" s="6"/>
      <c r="AT14" s="7"/>
      <c r="AU14" s="6"/>
      <c r="AV14" s="7"/>
      <c r="AW14" s="6"/>
      <c r="AX14" s="7"/>
      <c r="AY14" s="6"/>
      <c r="AZ14" s="7"/>
      <c r="BA14" s="6"/>
      <c r="BB14" s="7"/>
      <c r="BC14" s="6"/>
      <c r="BD14" s="7"/>
      <c r="BE14" s="6"/>
      <c r="BF14" s="7"/>
      <c r="BG14" s="6"/>
      <c r="BH14" s="7"/>
      <c r="BI14" s="6"/>
      <c r="BJ14" s="7"/>
      <c r="BK14" s="6"/>
      <c r="BL14" s="7"/>
      <c r="BM14" s="6"/>
      <c r="BN14" s="7"/>
      <c r="BO14" s="6"/>
      <c r="BP14" s="7"/>
      <c r="BQ14" s="6"/>
      <c r="BR14" s="7"/>
      <c r="BS14" s="6"/>
      <c r="BT14" s="7"/>
      <c r="BU14" s="6"/>
      <c r="BV14" s="7"/>
      <c r="BW14" s="6"/>
      <c r="BX14" s="7"/>
      <c r="BY14" s="6"/>
      <c r="BZ14" s="7"/>
      <c r="CA14" s="6"/>
      <c r="CB14" s="7"/>
      <c r="CC14" s="6"/>
      <c r="CD14" s="7"/>
      <c r="CE14" s="6"/>
      <c r="CF14" s="7"/>
      <c r="CG14" s="6"/>
      <c r="CH14" s="7"/>
      <c r="CI14" s="6"/>
      <c r="CJ14" s="7"/>
      <c r="CK14" s="6"/>
      <c r="CL14" s="7"/>
      <c r="CM14" s="6"/>
      <c r="CN14" s="7"/>
      <c r="CO14" s="6"/>
      <c r="CP14" s="7"/>
      <c r="CQ14" s="6"/>
      <c r="CR14" s="7"/>
      <c r="CS14" s="6"/>
      <c r="CT14" s="7"/>
      <c r="CU14" s="6"/>
      <c r="CV14" s="7"/>
      <c r="CW14" s="6"/>
      <c r="CX14" s="7"/>
      <c r="CY14" s="6"/>
      <c r="CZ14" s="7"/>
      <c r="DA14" s="6"/>
      <c r="DB14" s="7"/>
      <c r="DC14" s="6"/>
      <c r="DD14" s="7"/>
      <c r="DE14" s="6"/>
    </row>
    <row r="15" spans="2:110" x14ac:dyDescent="0.25">
      <c r="B15" s="30"/>
      <c r="C15" s="32" t="s">
        <v>3</v>
      </c>
      <c r="D15" s="3">
        <f>SUM(D13:D14)</f>
        <v>30243</v>
      </c>
      <c r="E15" s="1">
        <f>IFERROR(D15/D$11,0)</f>
        <v>0.80099054479963983</v>
      </c>
      <c r="F15" s="3">
        <f>SUM(F13:F14)</f>
        <v>30472</v>
      </c>
      <c r="G15" s="1">
        <f>IFERROR(F15/F$11,0)</f>
        <v>0.80513647052606552</v>
      </c>
      <c r="H15" s="3">
        <f>SUM(H13:H14)</f>
        <v>25222</v>
      </c>
      <c r="I15" s="1">
        <f>IFERROR(H15/H$11,0)</f>
        <v>0.77185788169048564</v>
      </c>
      <c r="J15" s="3">
        <f>SUM(J13:J14)</f>
        <v>29893</v>
      </c>
      <c r="K15" s="1">
        <f>IFERROR(J15/J$11,0)</f>
        <v>0.78268269054538786</v>
      </c>
      <c r="L15" s="3">
        <f>SUM(L13:L14)</f>
        <v>32228</v>
      </c>
      <c r="M15" s="1">
        <f>IFERROR(L15/L$11,0)</f>
        <v>0.79650042014729872</v>
      </c>
      <c r="N15" s="3">
        <f>SUM(N13:N14)</f>
        <v>32570</v>
      </c>
      <c r="O15" s="1">
        <f>IFERROR(N15/N$11,0)</f>
        <v>0.81104636685093878</v>
      </c>
      <c r="P15" s="3">
        <f>SUM(P13:P14)</f>
        <v>44480</v>
      </c>
      <c r="Q15" s="1">
        <f>IFERROR(P15/P$11,0)</f>
        <v>0.80180261378999551</v>
      </c>
      <c r="R15" s="3">
        <f>SUM(R13:R14)</f>
        <v>44328</v>
      </c>
      <c r="S15" s="1">
        <f>IFERROR(R15/R$11,0)</f>
        <v>0.80677040677040679</v>
      </c>
      <c r="T15" s="3">
        <f>SUM(T13:T14)</f>
        <v>43746</v>
      </c>
      <c r="U15" s="1">
        <f>IFERROR(T15/T$11,0)</f>
        <v>0.80928683748034413</v>
      </c>
      <c r="V15" s="3">
        <f>SUM(V13:V14)</f>
        <v>45112</v>
      </c>
      <c r="W15" s="1">
        <f>IFERROR(V15/V$11,0)</f>
        <v>0.80780732384277909</v>
      </c>
      <c r="X15" s="3">
        <f>SUM(X13:X14)</f>
        <v>41917</v>
      </c>
      <c r="Y15" s="1">
        <f>IFERROR(X15/X$11,0)</f>
        <v>0.7893676321042522</v>
      </c>
      <c r="Z15" s="3">
        <f>SUM(Z13:Z14)</f>
        <v>40639</v>
      </c>
      <c r="AA15" s="1">
        <f>IFERROR(Z15/Z$11,0)</f>
        <v>0.80393669634025722</v>
      </c>
      <c r="AB15" s="3">
        <f>SUM(AB13:AB14)</f>
        <v>43171</v>
      </c>
      <c r="AC15" s="1">
        <f>IFERROR(AB15/AB$11,0)</f>
        <v>0.81744679239566764</v>
      </c>
      <c r="AD15" s="3">
        <f>SUM(AD13:AD14)</f>
        <v>38446</v>
      </c>
      <c r="AE15" s="1">
        <f>IFERROR(AD15/AD$11,0)</f>
        <v>0.80052471577895312</v>
      </c>
      <c r="AF15" s="3">
        <f>SUM(AF13:AF14)</f>
        <v>39028</v>
      </c>
      <c r="AG15" s="1">
        <f>IFERROR(AF15/AF$11,0)</f>
        <v>0.79039248248207705</v>
      </c>
      <c r="AH15" s="3">
        <f>SUM(AH13:AH14)</f>
        <v>31767</v>
      </c>
      <c r="AI15" s="1">
        <f>IFERROR(AH15/AH$11,0)</f>
        <v>0.79036150573482944</v>
      </c>
      <c r="AJ15" s="3">
        <f>SUM(AJ13:AJ14)</f>
        <v>39329</v>
      </c>
      <c r="AK15" s="1">
        <f>IFERROR(AJ15/AJ$11,0)</f>
        <v>0.81695436322469417</v>
      </c>
      <c r="AL15" s="3">
        <f>SUM(AL13:AL14)</f>
        <v>36524</v>
      </c>
      <c r="AM15" s="1">
        <f>IFERROR(AL15/AL$11,0)</f>
        <v>0.81321666332687637</v>
      </c>
      <c r="AN15" s="3">
        <f>SUM(AN13:AN14)</f>
        <v>45561</v>
      </c>
      <c r="AO15" s="1">
        <f>IFERROR(AN15/AN$11,0)</f>
        <v>0.83254454088624941</v>
      </c>
      <c r="AP15" s="3">
        <f>SUM(AP13:AP14)</f>
        <v>39356</v>
      </c>
      <c r="AQ15" s="1">
        <f>IFERROR(AP15/AP$11,0)</f>
        <v>0.79951244286439815</v>
      </c>
      <c r="AR15" s="3">
        <f>SUM(AR13:AR14)</f>
        <v>41541</v>
      </c>
      <c r="AS15" s="1">
        <f>IFERROR(AR15/AR$11,0)</f>
        <v>0.81681971016772514</v>
      </c>
      <c r="AT15" s="3">
        <f>SUM(AT13:AT14)</f>
        <v>39139</v>
      </c>
      <c r="AU15" s="1">
        <f>IFERROR(AT15/AT$11,0)</f>
        <v>0.81238324546473495</v>
      </c>
      <c r="AV15" s="3">
        <f>SUM(AV13:AV14)</f>
        <v>32877</v>
      </c>
      <c r="AW15" s="1">
        <f>IFERROR(AV15/AV$11,0)</f>
        <v>0.79777243939724829</v>
      </c>
      <c r="AX15" s="3">
        <f>SUM(AX13:AX14)</f>
        <v>41397</v>
      </c>
      <c r="AY15" s="1">
        <f>IFERROR(AX15/AX$11,0)</f>
        <v>0.80441879445027398</v>
      </c>
      <c r="AZ15" s="3">
        <f>SUM(AZ13:AZ14)</f>
        <v>33130</v>
      </c>
      <c r="BA15" s="1">
        <f>IFERROR(AZ15/AZ$11,0)</f>
        <v>0.79648996273590578</v>
      </c>
      <c r="BB15" s="3">
        <f>SUM(BB13:BB14)</f>
        <v>34696</v>
      </c>
      <c r="BC15" s="1">
        <f>IFERROR(BB15/BB$11,0)</f>
        <v>0.7992812550392776</v>
      </c>
      <c r="BD15" s="3">
        <f>SUM(BD13:BD14)</f>
        <v>32569</v>
      </c>
      <c r="BE15" s="1">
        <f>IFERROR(BD15/BD$11,0)</f>
        <v>0.8161224847771068</v>
      </c>
      <c r="BF15" s="3">
        <f>SUM(BF13:BF14)</f>
        <v>31819</v>
      </c>
      <c r="BG15" s="1">
        <f>IFERROR(BF15/BF$11,0)</f>
        <v>0.8168981540910375</v>
      </c>
      <c r="BH15" s="3">
        <f>SUM(BH13:BH14)</f>
        <v>30588</v>
      </c>
      <c r="BI15" s="1">
        <f>IFERROR(BH15/BH$11,0)</f>
        <v>0.81109461179465425</v>
      </c>
      <c r="BJ15" s="3">
        <f>SUM(BJ13:BJ14)</f>
        <v>31483</v>
      </c>
      <c r="BK15" s="1">
        <f>IFERROR(BJ15/BJ$11,0)</f>
        <v>0.81382964973503946</v>
      </c>
      <c r="BL15" s="3">
        <f>SUM(BL13:BL14)</f>
        <v>35310</v>
      </c>
      <c r="BM15" s="1">
        <f>IFERROR(BL15/BL$11,0)</f>
        <v>0.82571381802025112</v>
      </c>
      <c r="BN15" s="3">
        <f>SUM(BN13:BN14)</f>
        <v>31337</v>
      </c>
      <c r="BO15" s="1">
        <f>IFERROR(BN15/BN$11,0)</f>
        <v>0.78207591903965656</v>
      </c>
      <c r="BP15" s="3">
        <f>SUM(BP13:BP14)</f>
        <v>28151</v>
      </c>
      <c r="BQ15" s="1">
        <f>IFERROR(BP15/BP$11,0)</f>
        <v>0.79401477971455969</v>
      </c>
      <c r="BR15" s="3">
        <f>SUM(BR13:BR14)</f>
        <v>26492</v>
      </c>
      <c r="BS15" s="1">
        <f>IFERROR(BR15/BR$11,0)</f>
        <v>0.79845685523976007</v>
      </c>
      <c r="BT15" s="3">
        <f>SUM(BT13:BT14)</f>
        <v>34578</v>
      </c>
      <c r="BU15" s="1">
        <f>IFERROR(BT15/BT$11,0)</f>
        <v>0.81045353334114612</v>
      </c>
      <c r="BV15" s="3">
        <f>SUM(BV13:BV14)</f>
        <v>27688</v>
      </c>
      <c r="BW15" s="1">
        <f>IFERROR(BV15/BV$11,0)</f>
        <v>0.80864485981308409</v>
      </c>
      <c r="BX15" s="3">
        <f>SUM(BX13:BX14)</f>
        <v>29465</v>
      </c>
      <c r="BY15" s="1">
        <f>IFERROR(BX15/BX$11,0)</f>
        <v>0.79041257578196256</v>
      </c>
      <c r="BZ15" s="3">
        <f>SUM(BZ13:BZ14)</f>
        <v>25694</v>
      </c>
      <c r="CA15" s="1">
        <f>IFERROR(BZ15/BZ$11,0)</f>
        <v>0.7824948227555123</v>
      </c>
      <c r="CB15" s="3">
        <f>SUM(CB13:CB14)</f>
        <v>29183</v>
      </c>
      <c r="CC15" s="1">
        <f>IFERROR(CB15/CB$11,0)</f>
        <v>0.78436273719292582</v>
      </c>
      <c r="CD15" s="3">
        <f>SUM(CD13:CD14)</f>
        <v>29663</v>
      </c>
      <c r="CE15" s="1">
        <f>IFERROR(CD15/CD$11,0)</f>
        <v>0.79419009370816596</v>
      </c>
      <c r="CF15" s="3">
        <f>SUM(CF13:CF14)</f>
        <v>31248</v>
      </c>
      <c r="CG15" s="1">
        <f>IFERROR(CF15/CF$11,0)</f>
        <v>0.81758241758241756</v>
      </c>
      <c r="CH15" s="3">
        <f>SUM(CH13:CH14)</f>
        <v>31175</v>
      </c>
      <c r="CI15" s="1">
        <f>IFERROR(CH15/CH$11,0)</f>
        <v>0.79625561912545972</v>
      </c>
      <c r="CJ15" s="3">
        <f>SUM(CJ13:CJ14)</f>
        <v>33406</v>
      </c>
      <c r="CK15" s="1">
        <f>IFERROR(CJ15/CJ$11,0)</f>
        <v>0.80206482593037209</v>
      </c>
      <c r="CL15" s="3">
        <f>SUM(CL13:CL14)</f>
        <v>36203</v>
      </c>
      <c r="CM15" s="1">
        <f>IFERROR(CL15/CL$11,0)</f>
        <v>0.80310122229863135</v>
      </c>
      <c r="CN15" s="3">
        <f>SUM(CN13:CN14)</f>
        <v>33003</v>
      </c>
      <c r="CO15" s="1">
        <f>IFERROR(CN15/CN$11,0)</f>
        <v>0.80044141543983893</v>
      </c>
      <c r="CP15" s="3">
        <f>SUM(CP13:CP14)</f>
        <v>30695</v>
      </c>
      <c r="CQ15" s="1">
        <f>IFERROR(CP15/CP$11,0)</f>
        <v>0.77506754538797562</v>
      </c>
      <c r="CR15" s="3">
        <f>SUM(CR13:CR14)</f>
        <v>26179</v>
      </c>
      <c r="CS15" s="1">
        <f>IFERROR(CR15/CR$11,0)</f>
        <v>0.79525501989732372</v>
      </c>
      <c r="CT15" s="3">
        <f>SUM(CT13:CT14)</f>
        <v>30034</v>
      </c>
      <c r="CU15" s="1">
        <f>IFERROR(CT15/CT$11,0)</f>
        <v>0.78592175847180423</v>
      </c>
      <c r="CV15" s="3">
        <f>SUM(CV13:CV14)</f>
        <v>31498</v>
      </c>
      <c r="CW15" s="1">
        <f>IFERROR(CV15/CV$11,0)</f>
        <v>0.80747538966365873</v>
      </c>
      <c r="CX15" s="3">
        <f>SUM(CX13:CX14)</f>
        <v>35496</v>
      </c>
      <c r="CY15" s="1">
        <f>IFERROR(CX15/CX$11,0)</f>
        <v>0.78731285349894642</v>
      </c>
      <c r="CZ15" s="3">
        <f>SUM(CZ13:CZ14)</f>
        <v>37248</v>
      </c>
      <c r="DA15" s="1">
        <f>IFERROR(CZ15/CZ$11,0)</f>
        <v>0.81109683600810056</v>
      </c>
      <c r="DB15" s="3">
        <f>SUM(DB13:DB14)</f>
        <v>38665</v>
      </c>
      <c r="DC15" s="1">
        <f>IFERROR(DB15/DB$11,0)</f>
        <v>0.82758989726027399</v>
      </c>
      <c r="DD15" s="3">
        <f>SUM(OSRRefD15x_0)</f>
        <v>1795682</v>
      </c>
      <c r="DE15" s="1">
        <f>IFERROR(DD15/DD$11,0)</f>
        <v>0.80297331608453459</v>
      </c>
    </row>
    <row r="16" spans="2:110" outlineLevel="1" x14ac:dyDescent="0.25">
      <c r="D16" s="14"/>
      <c r="E16" s="6"/>
      <c r="F16" s="14"/>
      <c r="G16" s="6"/>
      <c r="H16" s="14"/>
      <c r="I16" s="6"/>
      <c r="J16" s="14"/>
      <c r="K16" s="6"/>
      <c r="L16" s="14"/>
      <c r="M16" s="6"/>
      <c r="N16" s="14"/>
      <c r="O16" s="6"/>
      <c r="P16" s="14"/>
      <c r="Q16" s="6"/>
      <c r="R16" s="14"/>
      <c r="S16" s="6"/>
      <c r="T16" s="14"/>
      <c r="U16" s="6"/>
      <c r="V16" s="14"/>
      <c r="W16" s="6"/>
      <c r="X16" s="14"/>
      <c r="Y16" s="6"/>
      <c r="Z16" s="14"/>
      <c r="AA16" s="6"/>
      <c r="AB16" s="14"/>
      <c r="AC16" s="6"/>
      <c r="AD16" s="14"/>
      <c r="AE16" s="6"/>
      <c r="AF16" s="14"/>
      <c r="AG16" s="6"/>
      <c r="AH16" s="14"/>
      <c r="AI16" s="6"/>
      <c r="AJ16" s="14"/>
      <c r="AK16" s="6"/>
      <c r="AL16" s="14"/>
      <c r="AM16" s="6"/>
      <c r="AN16" s="14"/>
      <c r="AO16" s="6"/>
      <c r="AP16" s="14"/>
      <c r="AQ16" s="6"/>
      <c r="AR16" s="14"/>
      <c r="AS16" s="6"/>
      <c r="AT16" s="14"/>
      <c r="AU16" s="6"/>
      <c r="AV16" s="14"/>
      <c r="AW16" s="6"/>
      <c r="AX16" s="14"/>
      <c r="AY16" s="6"/>
      <c r="AZ16" s="14"/>
      <c r="BA16" s="6"/>
      <c r="BB16" s="14"/>
      <c r="BC16" s="6"/>
      <c r="BD16" s="14"/>
      <c r="BE16" s="6"/>
      <c r="BF16" s="14"/>
      <c r="BG16" s="6"/>
      <c r="BH16" s="14"/>
      <c r="BI16" s="6"/>
      <c r="BJ16" s="14"/>
      <c r="BK16" s="6"/>
      <c r="BL16" s="14"/>
      <c r="BM16" s="6"/>
      <c r="BN16" s="14"/>
      <c r="BO16" s="6"/>
      <c r="BP16" s="14"/>
      <c r="BQ16" s="6"/>
      <c r="BR16" s="14"/>
      <c r="BS16" s="6"/>
      <c r="BT16" s="14"/>
      <c r="BU16" s="6"/>
      <c r="BV16" s="14"/>
      <c r="BW16" s="6"/>
      <c r="BX16" s="14"/>
      <c r="BY16" s="6"/>
      <c r="BZ16" s="14"/>
      <c r="CA16" s="6"/>
      <c r="CB16" s="14"/>
      <c r="CC16" s="6"/>
      <c r="CD16" s="14"/>
      <c r="CE16" s="6"/>
      <c r="CF16" s="14"/>
      <c r="CG16" s="6"/>
      <c r="CH16" s="14"/>
      <c r="CI16" s="6"/>
      <c r="CJ16" s="14"/>
      <c r="CK16" s="6"/>
      <c r="CL16" s="14"/>
      <c r="CM16" s="6"/>
      <c r="CN16" s="14"/>
      <c r="CO16" s="6"/>
      <c r="CP16" s="14"/>
      <c r="CQ16" s="6"/>
      <c r="CR16" s="14"/>
      <c r="CS16" s="6"/>
      <c r="CT16" s="14"/>
      <c r="CU16" s="6"/>
      <c r="CV16" s="14"/>
      <c r="CW16" s="6"/>
      <c r="CX16" s="14"/>
      <c r="CY16" s="6"/>
      <c r="CZ16" s="14"/>
      <c r="DA16" s="6"/>
      <c r="DB16" s="14"/>
      <c r="DC16" s="6"/>
      <c r="DD16" s="14"/>
      <c r="DE16" s="6"/>
    </row>
    <row r="17" spans="2:110" outlineLevel="1" x14ac:dyDescent="0.25">
      <c r="B17">
        <v>40808</v>
      </c>
      <c r="C17" t="s">
        <v>37</v>
      </c>
      <c r="D17" s="7">
        <f>IFERROR(9164,0)</f>
        <v>9164</v>
      </c>
      <c r="E17" s="4">
        <f>IFERROR(D17/D$15,0)</f>
        <v>0.30301226730152431</v>
      </c>
      <c r="F17" s="7">
        <f>IFERROR(9233,0)</f>
        <v>9233</v>
      </c>
      <c r="G17" s="4">
        <f>IFERROR(F17/F$15,0)</f>
        <v>0.30299947492780255</v>
      </c>
      <c r="H17" s="7">
        <f>IFERROR(7642,0)</f>
        <v>7642</v>
      </c>
      <c r="I17" s="4">
        <f>IFERROR(H17/H$15,0)</f>
        <v>0.30298945365157404</v>
      </c>
      <c r="J17" s="7">
        <f>IFERROR(9058,0)</f>
        <v>9058</v>
      </c>
      <c r="K17" s="4">
        <f>IFERROR(J17/J$15,0)</f>
        <v>0.30301408356471415</v>
      </c>
      <c r="L17" s="7">
        <f>IFERROR(9765,0)</f>
        <v>9765</v>
      </c>
      <c r="M17" s="4">
        <f>IFERROR(L17/L$15,0)</f>
        <v>0.30299739357080802</v>
      </c>
      <c r="N17" s="7">
        <f>IFERROR(9869,0)</f>
        <v>9869</v>
      </c>
      <c r="O17" s="4">
        <f>IFERROR(N17/N$15,0)</f>
        <v>0.3030089038992938</v>
      </c>
      <c r="P17" s="7">
        <f>IFERROR(13477,0)</f>
        <v>13477</v>
      </c>
      <c r="Q17" s="4">
        <f>IFERROR(P17/P$15,0)</f>
        <v>0.30299010791366904</v>
      </c>
      <c r="R17" s="7">
        <f>IFERROR(13431,0)</f>
        <v>13431</v>
      </c>
      <c r="S17" s="4">
        <f>IFERROR(R17/R$15,0)</f>
        <v>0.30299133730373579</v>
      </c>
      <c r="T17" s="7">
        <f>IFERROR(13255,0)</f>
        <v>13255</v>
      </c>
      <c r="U17" s="4">
        <f>IFERROR(T17/T$15,0)</f>
        <v>0.30299913134915191</v>
      </c>
      <c r="V17" s="7">
        <f>IFERROR(13669,0)</f>
        <v>13669</v>
      </c>
      <c r="W17" s="4">
        <f>IFERROR(V17/V$15,0)</f>
        <v>0.3030014186912573</v>
      </c>
      <c r="X17" s="7">
        <f>IFERROR(12701,0)</f>
        <v>12701</v>
      </c>
      <c r="Y17" s="4">
        <f>IFERROR(X17/X$15,0)</f>
        <v>0.30300355464370066</v>
      </c>
      <c r="Z17" s="7">
        <f>IFERROR(12314,0)</f>
        <v>12314</v>
      </c>
      <c r="AA17" s="4">
        <f>IFERROR(Z17/Z$15,0)</f>
        <v>0.30300942444449913</v>
      </c>
      <c r="AB17" s="7">
        <f>IFERROR(13081,0)</f>
        <v>13081</v>
      </c>
      <c r="AC17" s="4">
        <f>IFERROR(AB17/AB$15,0)</f>
        <v>0.30300433161149848</v>
      </c>
      <c r="AD17" s="7">
        <f>IFERROR(11649,0)</f>
        <v>11649</v>
      </c>
      <c r="AE17" s="4">
        <f>IFERROR(AD17/AD$15,0)</f>
        <v>0.30299641054986215</v>
      </c>
      <c r="AF17" s="7">
        <f>IFERROR(11825,0)</f>
        <v>11825</v>
      </c>
      <c r="AG17" s="4">
        <f>IFERROR(AF17/AF$15,0)</f>
        <v>0.30298759864712516</v>
      </c>
      <c r="AH17" s="7">
        <f>IFERROR(9625,0)</f>
        <v>9625</v>
      </c>
      <c r="AI17" s="4">
        <f>IFERROR(AH17/AH$15,0)</f>
        <v>0.30298737683759874</v>
      </c>
      <c r="AJ17" s="7">
        <f>IFERROR(11917,0)</f>
        <v>11917</v>
      </c>
      <c r="AK17" s="4">
        <f>IFERROR(AJ17/AJ$15,0)</f>
        <v>0.303007958503903</v>
      </c>
      <c r="AL17" s="7">
        <f>IFERROR(11067,0)</f>
        <v>11067</v>
      </c>
      <c r="AM17" s="4">
        <f>IFERROR(AL17/AL$15,0)</f>
        <v>0.30300624247070418</v>
      </c>
      <c r="AN17" s="7">
        <f>IFERROR(13805,0)</f>
        <v>13805</v>
      </c>
      <c r="AO17" s="4">
        <f>IFERROR(AN17/AN$15,0)</f>
        <v>0.30300037312613859</v>
      </c>
      <c r="AP17" s="7">
        <f>IFERROR(11925,0)</f>
        <v>11925</v>
      </c>
      <c r="AQ17" s="4">
        <f>IFERROR(AP17/AP$15,0)</f>
        <v>0.30300335399939016</v>
      </c>
      <c r="AR17" s="7">
        <f>IFERROR(12587,0)</f>
        <v>12587</v>
      </c>
      <c r="AS17" s="4">
        <f>IFERROR(AR17/AR$15,0)</f>
        <v>0.30300185359042875</v>
      </c>
      <c r="AT17" s="7">
        <f>IFERROR(11859,0)</f>
        <v>11859</v>
      </c>
      <c r="AU17" s="4">
        <f>IFERROR(AT17/AT$15,0)</f>
        <v>0.30299701065433454</v>
      </c>
      <c r="AV17" s="7">
        <f>IFERROR(9962,0)</f>
        <v>9962</v>
      </c>
      <c r="AW17" s="4">
        <f>IFERROR(AV17/AV$15,0)</f>
        <v>0.30300818201174073</v>
      </c>
      <c r="AX17" s="7">
        <f>IFERROR(12543,0)</f>
        <v>12543</v>
      </c>
      <c r="AY17" s="4">
        <f>IFERROR(AX17/AX$15,0)</f>
        <v>0.30299297050510904</v>
      </c>
      <c r="AZ17" s="7">
        <f>IFERROR(10038,0)</f>
        <v>10038</v>
      </c>
      <c r="BA17" s="4">
        <f>IFERROR(AZ17/AZ$15,0)</f>
        <v>0.30298822819197102</v>
      </c>
      <c r="BB17" s="7">
        <f>IFERROR(10513,0)</f>
        <v>10513</v>
      </c>
      <c r="BC17" s="4">
        <f>IFERROR(BB17/BB$15,0)</f>
        <v>0.30300322803781415</v>
      </c>
      <c r="BD17" s="7">
        <f>IFERROR(9868,0)</f>
        <v>9868</v>
      </c>
      <c r="BE17" s="4">
        <f>IFERROR(BD17/BD$15,0)</f>
        <v>0.30298750345420494</v>
      </c>
      <c r="BF17" s="7">
        <f>IFERROR(9641,0)</f>
        <v>9641</v>
      </c>
      <c r="BG17" s="4">
        <f>IFERROR(BF17/BF$15,0)</f>
        <v>0.30299506584116409</v>
      </c>
      <c r="BH17" s="7">
        <f>IFERROR(9268,0)</f>
        <v>9268</v>
      </c>
      <c r="BI17" s="4">
        <f>IFERROR(BH17/BH$15,0)</f>
        <v>0.30299463842029556</v>
      </c>
      <c r="BJ17" s="7">
        <f>IFERROR(9539,0)</f>
        <v>9539</v>
      </c>
      <c r="BK17" s="4">
        <f>IFERROR(BJ17/BJ$15,0)</f>
        <v>0.30298891465235206</v>
      </c>
      <c r="BL17" s="7">
        <f>IFERROR(10699,0)</f>
        <v>10699</v>
      </c>
      <c r="BM17" s="4">
        <f>IFERROR(BL17/BL$15,0)</f>
        <v>0.30300198244123477</v>
      </c>
      <c r="BN17" s="7">
        <f>IFERROR(9495,0)</f>
        <v>9495</v>
      </c>
      <c r="BO17" s="4">
        <f>IFERROR(BN17/BN$15,0)</f>
        <v>0.30299645786131413</v>
      </c>
      <c r="BP17" s="7">
        <f>IFERROR(8530,0)</f>
        <v>8530</v>
      </c>
      <c r="BQ17" s="4">
        <f>IFERROR(BP17/BP$15,0)</f>
        <v>0.30300877411104399</v>
      </c>
      <c r="BR17" s="7">
        <f>IFERROR(8027,0)</f>
        <v>8027</v>
      </c>
      <c r="BS17" s="4">
        <f>IFERROR(BR17/BR$15,0)</f>
        <v>0.30299713120942173</v>
      </c>
      <c r="BT17" s="7">
        <f>IFERROR(10477,0)</f>
        <v>10477</v>
      </c>
      <c r="BU17" s="4">
        <f>IFERROR(BT17/BT$15,0)</f>
        <v>0.30299612470356874</v>
      </c>
      <c r="BV17" s="7">
        <f>IFERROR(8389,0)</f>
        <v>8389</v>
      </c>
      <c r="BW17" s="4">
        <f>IFERROR(BV17/BV$15,0)</f>
        <v>0.30298324183761921</v>
      </c>
      <c r="BX17" s="7">
        <f>IFERROR(8928,0)</f>
        <v>8928</v>
      </c>
      <c r="BY17" s="4">
        <f>IFERROR(BX17/BX$15,0)</f>
        <v>0.30300356354997454</v>
      </c>
      <c r="BZ17" s="7">
        <f>IFERROR(7785,0)</f>
        <v>7785</v>
      </c>
      <c r="CA17" s="4">
        <f>IFERROR(BZ17/BZ$15,0)</f>
        <v>0.30298902467502142</v>
      </c>
      <c r="CB17" s="7">
        <f>IFERROR(8842,0)</f>
        <v>8842</v>
      </c>
      <c r="CC17" s="4">
        <f>IFERROR(CB17/CB$15,0)</f>
        <v>0.30298461433026075</v>
      </c>
      <c r="CD17" s="7">
        <f>IFERROR(8988,0)</f>
        <v>8988</v>
      </c>
      <c r="CE17" s="4">
        <f>IFERROR(CD17/CD$15,0)</f>
        <v>0.30300374203553249</v>
      </c>
      <c r="CF17" s="7">
        <f>IFERROR(9468,0)</f>
        <v>9468</v>
      </c>
      <c r="CG17" s="4">
        <f>IFERROR(CF17/CF$15,0)</f>
        <v>0.30299539170506912</v>
      </c>
      <c r="CH17" s="7">
        <f>IFERROR(9446,0)</f>
        <v>9446</v>
      </c>
      <c r="CI17" s="4">
        <f>IFERROR(CH17/CH$15,0)</f>
        <v>0.30299919807538089</v>
      </c>
      <c r="CJ17" s="7">
        <f>IFERROR(10122,0)</f>
        <v>10122</v>
      </c>
      <c r="CK17" s="4">
        <f>IFERROR(CJ17/CJ$15,0)</f>
        <v>0.30299946117463927</v>
      </c>
      <c r="CL17" s="7">
        <f>IFERROR(10970,0)</f>
        <v>10970</v>
      </c>
      <c r="CM17" s="4">
        <f>IFERROR(CL17/CL$15,0)</f>
        <v>0.30301356241195482</v>
      </c>
      <c r="CN17" s="7">
        <f>IFERROR(10000,0)</f>
        <v>10000</v>
      </c>
      <c r="CO17" s="4">
        <f>IFERROR(CN17/CN$15,0)</f>
        <v>0.30300275732509163</v>
      </c>
      <c r="CP17" s="7">
        <f>IFERROR(9301,0)</f>
        <v>9301</v>
      </c>
      <c r="CQ17" s="4">
        <f>IFERROR(CP17/CP$15,0)</f>
        <v>0.30301352011728294</v>
      </c>
      <c r="CR17" s="7">
        <f>IFERROR(7932,0)</f>
        <v>7932</v>
      </c>
      <c r="CS17" s="4">
        <f>IFERROR(CR17/CR$15,0)</f>
        <v>0.30299094694220557</v>
      </c>
      <c r="CT17" s="7">
        <f>IFERROR(9100,0)</f>
        <v>9100</v>
      </c>
      <c r="CU17" s="4">
        <f>IFERROR(CT17/CT$15,0)</f>
        <v>0.30298994472930679</v>
      </c>
      <c r="CV17" s="7">
        <f>IFERROR(9544,0)</f>
        <v>9544</v>
      </c>
      <c r="CW17" s="4">
        <f>IFERROR(CV17/CV$15,0)</f>
        <v>0.30300336529303445</v>
      </c>
      <c r="CX17" s="7">
        <f>IFERROR(10755,0)</f>
        <v>10755</v>
      </c>
      <c r="CY17" s="4">
        <f>IFERROR(CX17/CX$15,0)</f>
        <v>0.30299188640973629</v>
      </c>
      <c r="CZ17" s="7">
        <f>IFERROR(11286,0)</f>
        <v>11286</v>
      </c>
      <c r="DA17" s="4">
        <f>IFERROR(CZ17/CZ$15,0)</f>
        <v>0.30299613402061853</v>
      </c>
      <c r="DB17" s="7">
        <f>IFERROR(11715,0)</f>
        <v>11715</v>
      </c>
      <c r="DC17" s="4">
        <f>IFERROR(DB17/DB$15,0)</f>
        <v>0.30298719772403981</v>
      </c>
      <c r="DD17" s="7">
        <f>SUM(OSRRefD17_0x_0)</f>
        <v>544089</v>
      </c>
      <c r="DE17" s="4">
        <f>IFERROR(DD17/DD$15,0)</f>
        <v>0.30299852646515363</v>
      </c>
    </row>
    <row r="18" spans="2:110" ht="7.5" customHeight="1" x14ac:dyDescent="0.25">
      <c r="D18" s="7"/>
      <c r="E18" s="6"/>
      <c r="F18" s="7"/>
      <c r="G18" s="6"/>
      <c r="H18" s="7"/>
      <c r="I18" s="6"/>
      <c r="J18" s="7"/>
      <c r="K18" s="6"/>
      <c r="L18" s="7"/>
      <c r="M18" s="6"/>
      <c r="N18" s="7"/>
      <c r="O18" s="6"/>
      <c r="P18" s="7"/>
      <c r="Q18" s="6"/>
      <c r="R18" s="7"/>
      <c r="S18" s="6"/>
      <c r="T18" s="7"/>
      <c r="U18" s="6"/>
      <c r="V18" s="7"/>
      <c r="W18" s="6"/>
      <c r="X18" s="7"/>
      <c r="Y18" s="6"/>
      <c r="Z18" s="7"/>
      <c r="AA18" s="6"/>
      <c r="AB18" s="7"/>
      <c r="AC18" s="6"/>
      <c r="AD18" s="7"/>
      <c r="AE18" s="6"/>
      <c r="AF18" s="7"/>
      <c r="AG18" s="6"/>
      <c r="AH18" s="7"/>
      <c r="AI18" s="6"/>
      <c r="AJ18" s="7"/>
      <c r="AK18" s="6"/>
      <c r="AL18" s="7"/>
      <c r="AM18" s="6"/>
      <c r="AN18" s="7"/>
      <c r="AO18" s="6"/>
      <c r="AP18" s="7"/>
      <c r="AQ18" s="6"/>
      <c r="AR18" s="7"/>
      <c r="AS18" s="6"/>
      <c r="AT18" s="7"/>
      <c r="AU18" s="6"/>
      <c r="AV18" s="7"/>
      <c r="AW18" s="6"/>
      <c r="AX18" s="7"/>
      <c r="AY18" s="6"/>
      <c r="AZ18" s="7"/>
      <c r="BA18" s="6"/>
      <c r="BB18" s="7"/>
      <c r="BC18" s="6"/>
      <c r="BD18" s="7"/>
      <c r="BE18" s="6"/>
      <c r="BF18" s="7"/>
      <c r="BG18" s="6"/>
      <c r="BH18" s="7"/>
      <c r="BI18" s="6"/>
      <c r="BJ18" s="7"/>
      <c r="BK18" s="6"/>
      <c r="BL18" s="7"/>
      <c r="BM18" s="6"/>
      <c r="BN18" s="7"/>
      <c r="BO18" s="6"/>
      <c r="BP18" s="7"/>
      <c r="BQ18" s="6"/>
      <c r="BR18" s="7"/>
      <c r="BS18" s="6"/>
      <c r="BT18" s="7"/>
      <c r="BU18" s="6"/>
      <c r="BV18" s="7"/>
      <c r="BW18" s="6"/>
      <c r="BX18" s="7"/>
      <c r="BY18" s="6"/>
      <c r="BZ18" s="7"/>
      <c r="CA18" s="6"/>
      <c r="CB18" s="7"/>
      <c r="CC18" s="6"/>
      <c r="CD18" s="7"/>
      <c r="CE18" s="6"/>
      <c r="CF18" s="7"/>
      <c r="CG18" s="6"/>
      <c r="CH18" s="7"/>
      <c r="CI18" s="6"/>
      <c r="CJ18" s="7"/>
      <c r="CK18" s="6"/>
      <c r="CL18" s="7"/>
      <c r="CM18" s="6"/>
      <c r="CN18" s="7"/>
      <c r="CO18" s="6"/>
      <c r="CP18" s="7"/>
      <c r="CQ18" s="6"/>
      <c r="CR18" s="7"/>
      <c r="CS18" s="6"/>
      <c r="CT18" s="7"/>
      <c r="CU18" s="6"/>
      <c r="CV18" s="7"/>
      <c r="CW18" s="6"/>
      <c r="CX18" s="7"/>
      <c r="CY18" s="6"/>
      <c r="CZ18" s="7"/>
      <c r="DA18" s="6"/>
      <c r="DB18" s="7"/>
      <c r="DC18" s="6"/>
      <c r="DD18" s="7"/>
      <c r="DE18" s="6"/>
    </row>
    <row r="19" spans="2:110" x14ac:dyDescent="0.25">
      <c r="B19" s="30"/>
      <c r="C19" s="32" t="s">
        <v>4</v>
      </c>
      <c r="D19" s="3">
        <f>SUM(D17:D18)</f>
        <v>9164</v>
      </c>
      <c r="E19" s="1">
        <f>IFERROR(D19/D$15,0)</f>
        <v>0.30301226730152431</v>
      </c>
      <c r="F19" s="3">
        <f>SUM(F17:F18)</f>
        <v>9233</v>
      </c>
      <c r="G19" s="1">
        <f>IFERROR(F19/F$15,0)</f>
        <v>0.30299947492780255</v>
      </c>
      <c r="H19" s="3">
        <f>SUM(H17:H18)</f>
        <v>7642</v>
      </c>
      <c r="I19" s="1">
        <f>IFERROR(H19/H$15,0)</f>
        <v>0.30298945365157404</v>
      </c>
      <c r="J19" s="3">
        <f>SUM(J17:J18)</f>
        <v>9058</v>
      </c>
      <c r="K19" s="1">
        <f>IFERROR(J19/J$15,0)</f>
        <v>0.30301408356471415</v>
      </c>
      <c r="L19" s="3">
        <f>SUM(L17:L18)</f>
        <v>9765</v>
      </c>
      <c r="M19" s="1">
        <f>IFERROR(L19/L$15,0)</f>
        <v>0.30299739357080802</v>
      </c>
      <c r="N19" s="3">
        <f>SUM(N17:N18)</f>
        <v>9869</v>
      </c>
      <c r="O19" s="1">
        <f>IFERROR(N19/N$15,0)</f>
        <v>0.3030089038992938</v>
      </c>
      <c r="P19" s="3">
        <f>SUM(P17:P18)</f>
        <v>13477</v>
      </c>
      <c r="Q19" s="1">
        <f>IFERROR(P19/P$15,0)</f>
        <v>0.30299010791366904</v>
      </c>
      <c r="R19" s="3">
        <f>SUM(R17:R18)</f>
        <v>13431</v>
      </c>
      <c r="S19" s="1">
        <f>IFERROR(R19/R$15,0)</f>
        <v>0.30299133730373579</v>
      </c>
      <c r="T19" s="3">
        <f>SUM(T17:T18)</f>
        <v>13255</v>
      </c>
      <c r="U19" s="1">
        <f>IFERROR(T19/T$15,0)</f>
        <v>0.30299913134915191</v>
      </c>
      <c r="V19" s="3">
        <f>SUM(V17:V18)</f>
        <v>13669</v>
      </c>
      <c r="W19" s="1">
        <f>IFERROR(V19/V$15,0)</f>
        <v>0.3030014186912573</v>
      </c>
      <c r="X19" s="3">
        <f>SUM(X17:X18)</f>
        <v>12701</v>
      </c>
      <c r="Y19" s="1">
        <f>IFERROR(X19/X$15,0)</f>
        <v>0.30300355464370066</v>
      </c>
      <c r="Z19" s="3">
        <f>SUM(Z17:Z18)</f>
        <v>12314</v>
      </c>
      <c r="AA19" s="1">
        <f>IFERROR(Z19/Z$15,0)</f>
        <v>0.30300942444449913</v>
      </c>
      <c r="AB19" s="3">
        <f>SUM(AB17:AB18)</f>
        <v>13081</v>
      </c>
      <c r="AC19" s="1">
        <f>IFERROR(AB19/AB$15,0)</f>
        <v>0.30300433161149848</v>
      </c>
      <c r="AD19" s="3">
        <f>SUM(AD17:AD18)</f>
        <v>11649</v>
      </c>
      <c r="AE19" s="1">
        <f>IFERROR(AD19/AD$15,0)</f>
        <v>0.30299641054986215</v>
      </c>
      <c r="AF19" s="3">
        <f>SUM(AF17:AF18)</f>
        <v>11825</v>
      </c>
      <c r="AG19" s="1">
        <f>IFERROR(AF19/AF$15,0)</f>
        <v>0.30298759864712516</v>
      </c>
      <c r="AH19" s="3">
        <f>SUM(AH17:AH18)</f>
        <v>9625</v>
      </c>
      <c r="AI19" s="1">
        <f>IFERROR(AH19/AH$15,0)</f>
        <v>0.30298737683759874</v>
      </c>
      <c r="AJ19" s="3">
        <f>SUM(AJ17:AJ18)</f>
        <v>11917</v>
      </c>
      <c r="AK19" s="1">
        <f>IFERROR(AJ19/AJ$15,0)</f>
        <v>0.303007958503903</v>
      </c>
      <c r="AL19" s="3">
        <f>SUM(AL17:AL18)</f>
        <v>11067</v>
      </c>
      <c r="AM19" s="1">
        <f>IFERROR(AL19/AL$15,0)</f>
        <v>0.30300624247070418</v>
      </c>
      <c r="AN19" s="3">
        <f>SUM(AN17:AN18)</f>
        <v>13805</v>
      </c>
      <c r="AO19" s="1">
        <f>IFERROR(AN19/AN$15,0)</f>
        <v>0.30300037312613859</v>
      </c>
      <c r="AP19" s="3">
        <f>SUM(AP17:AP18)</f>
        <v>11925</v>
      </c>
      <c r="AQ19" s="1">
        <f>IFERROR(AP19/AP$15,0)</f>
        <v>0.30300335399939016</v>
      </c>
      <c r="AR19" s="3">
        <f>SUM(AR17:AR18)</f>
        <v>12587</v>
      </c>
      <c r="AS19" s="1">
        <f>IFERROR(AR19/AR$15,0)</f>
        <v>0.30300185359042875</v>
      </c>
      <c r="AT19" s="3">
        <f>SUM(AT17:AT18)</f>
        <v>11859</v>
      </c>
      <c r="AU19" s="1">
        <f>IFERROR(AT19/AT$15,0)</f>
        <v>0.30299701065433454</v>
      </c>
      <c r="AV19" s="3">
        <f>SUM(AV17:AV18)</f>
        <v>9962</v>
      </c>
      <c r="AW19" s="1">
        <f>IFERROR(AV19/AV$15,0)</f>
        <v>0.30300818201174073</v>
      </c>
      <c r="AX19" s="3">
        <f>SUM(AX17:AX18)</f>
        <v>12543</v>
      </c>
      <c r="AY19" s="1">
        <f>IFERROR(AX19/AX$15,0)</f>
        <v>0.30299297050510904</v>
      </c>
      <c r="AZ19" s="3">
        <f>SUM(AZ17:AZ18)</f>
        <v>10038</v>
      </c>
      <c r="BA19" s="1">
        <f>IFERROR(AZ19/AZ$15,0)</f>
        <v>0.30298822819197102</v>
      </c>
      <c r="BB19" s="3">
        <f>SUM(BB17:BB18)</f>
        <v>10513</v>
      </c>
      <c r="BC19" s="1">
        <f>IFERROR(BB19/BB$15,0)</f>
        <v>0.30300322803781415</v>
      </c>
      <c r="BD19" s="3">
        <f>SUM(BD17:BD18)</f>
        <v>9868</v>
      </c>
      <c r="BE19" s="1">
        <f>IFERROR(BD19/BD$15,0)</f>
        <v>0.30298750345420494</v>
      </c>
      <c r="BF19" s="3">
        <f>SUM(BF17:BF18)</f>
        <v>9641</v>
      </c>
      <c r="BG19" s="1">
        <f>IFERROR(BF19/BF$15,0)</f>
        <v>0.30299506584116409</v>
      </c>
      <c r="BH19" s="3">
        <f>SUM(BH17:BH18)</f>
        <v>9268</v>
      </c>
      <c r="BI19" s="1">
        <f>IFERROR(BH19/BH$15,0)</f>
        <v>0.30299463842029556</v>
      </c>
      <c r="BJ19" s="3">
        <f>SUM(BJ17:BJ18)</f>
        <v>9539</v>
      </c>
      <c r="BK19" s="1">
        <f>IFERROR(BJ19/BJ$15,0)</f>
        <v>0.30298891465235206</v>
      </c>
      <c r="BL19" s="3">
        <f>SUM(BL17:BL18)</f>
        <v>10699</v>
      </c>
      <c r="BM19" s="1">
        <f>IFERROR(BL19/BL$15,0)</f>
        <v>0.30300198244123477</v>
      </c>
      <c r="BN19" s="3">
        <f>SUM(BN17:BN18)</f>
        <v>9495</v>
      </c>
      <c r="BO19" s="1">
        <f>IFERROR(BN19/BN$15,0)</f>
        <v>0.30299645786131413</v>
      </c>
      <c r="BP19" s="3">
        <f>SUM(BP17:BP18)</f>
        <v>8530</v>
      </c>
      <c r="BQ19" s="1">
        <f>IFERROR(BP19/BP$15,0)</f>
        <v>0.30300877411104399</v>
      </c>
      <c r="BR19" s="3">
        <f>SUM(BR17:BR18)</f>
        <v>8027</v>
      </c>
      <c r="BS19" s="1">
        <f>IFERROR(BR19/BR$15,0)</f>
        <v>0.30299713120942173</v>
      </c>
      <c r="BT19" s="3">
        <f>SUM(BT17:BT18)</f>
        <v>10477</v>
      </c>
      <c r="BU19" s="1">
        <f>IFERROR(BT19/BT$15,0)</f>
        <v>0.30299612470356874</v>
      </c>
      <c r="BV19" s="3">
        <f>SUM(BV17:BV18)</f>
        <v>8389</v>
      </c>
      <c r="BW19" s="1">
        <f>IFERROR(BV19/BV$15,0)</f>
        <v>0.30298324183761921</v>
      </c>
      <c r="BX19" s="3">
        <f>SUM(BX17:BX18)</f>
        <v>8928</v>
      </c>
      <c r="BY19" s="1">
        <f>IFERROR(BX19/BX$15,0)</f>
        <v>0.30300356354997454</v>
      </c>
      <c r="BZ19" s="3">
        <f>SUM(BZ17:BZ18)</f>
        <v>7785</v>
      </c>
      <c r="CA19" s="1">
        <f>IFERROR(BZ19/BZ$15,0)</f>
        <v>0.30298902467502142</v>
      </c>
      <c r="CB19" s="3">
        <f>SUM(CB17:CB18)</f>
        <v>8842</v>
      </c>
      <c r="CC19" s="1">
        <f>IFERROR(CB19/CB$15,0)</f>
        <v>0.30298461433026075</v>
      </c>
      <c r="CD19" s="3">
        <f>SUM(CD17:CD18)</f>
        <v>8988</v>
      </c>
      <c r="CE19" s="1">
        <f>IFERROR(CD19/CD$15,0)</f>
        <v>0.30300374203553249</v>
      </c>
      <c r="CF19" s="3">
        <f>SUM(CF17:CF18)</f>
        <v>9468</v>
      </c>
      <c r="CG19" s="1">
        <f>IFERROR(CF19/CF$15,0)</f>
        <v>0.30299539170506912</v>
      </c>
      <c r="CH19" s="3">
        <f>SUM(CH17:CH18)</f>
        <v>9446</v>
      </c>
      <c r="CI19" s="1">
        <f>IFERROR(CH19/CH$15,0)</f>
        <v>0.30299919807538089</v>
      </c>
      <c r="CJ19" s="3">
        <f>SUM(CJ17:CJ18)</f>
        <v>10122</v>
      </c>
      <c r="CK19" s="1">
        <f>IFERROR(CJ19/CJ$15,0)</f>
        <v>0.30299946117463927</v>
      </c>
      <c r="CL19" s="3">
        <f>SUM(CL17:CL18)</f>
        <v>10970</v>
      </c>
      <c r="CM19" s="1">
        <f>IFERROR(CL19/CL$15,0)</f>
        <v>0.30301356241195482</v>
      </c>
      <c r="CN19" s="3">
        <f>SUM(CN17:CN18)</f>
        <v>10000</v>
      </c>
      <c r="CO19" s="1">
        <f>IFERROR(CN19/CN$15,0)</f>
        <v>0.30300275732509163</v>
      </c>
      <c r="CP19" s="3">
        <f>SUM(CP17:CP18)</f>
        <v>9301</v>
      </c>
      <c r="CQ19" s="1">
        <f>IFERROR(CP19/CP$15,0)</f>
        <v>0.30301352011728294</v>
      </c>
      <c r="CR19" s="3">
        <f>SUM(CR17:CR18)</f>
        <v>7932</v>
      </c>
      <c r="CS19" s="1">
        <f>IFERROR(CR19/CR$15,0)</f>
        <v>0.30299094694220557</v>
      </c>
      <c r="CT19" s="3">
        <f>SUM(CT17:CT18)</f>
        <v>9100</v>
      </c>
      <c r="CU19" s="1">
        <f>IFERROR(CT19/CT$15,0)</f>
        <v>0.30298994472930679</v>
      </c>
      <c r="CV19" s="3">
        <f>SUM(CV17:CV18)</f>
        <v>9544</v>
      </c>
      <c r="CW19" s="1">
        <f>IFERROR(CV19/CV$15,0)</f>
        <v>0.30300336529303445</v>
      </c>
      <c r="CX19" s="3">
        <f>SUM(CX17:CX18)</f>
        <v>10755</v>
      </c>
      <c r="CY19" s="1">
        <f>IFERROR(CX19/CX$15,0)</f>
        <v>0.30299188640973629</v>
      </c>
      <c r="CZ19" s="3">
        <f>SUM(CZ17:CZ18)</f>
        <v>11286</v>
      </c>
      <c r="DA19" s="1">
        <f>IFERROR(CZ19/CZ$15,0)</f>
        <v>0.30299613402061853</v>
      </c>
      <c r="DB19" s="3">
        <f>SUM(DB17:DB18)</f>
        <v>11715</v>
      </c>
      <c r="DC19" s="1">
        <f>IFERROR(DB19/DB$15,0)</f>
        <v>0.30298719772403981</v>
      </c>
      <c r="DD19" s="3">
        <f>SUM(OSRRefD19x_0)</f>
        <v>544089</v>
      </c>
      <c r="DE19" s="1">
        <f>IFERROR(DD19/DD$15,0)</f>
        <v>0.30299852646515363</v>
      </c>
      <c r="DF19" s="28"/>
    </row>
    <row r="20" spans="2:110" x14ac:dyDescent="0.25">
      <c r="B20" s="29"/>
      <c r="D20" s="14"/>
      <c r="E20" s="6"/>
      <c r="F20" s="14"/>
      <c r="G20" s="6"/>
      <c r="H20" s="14"/>
      <c r="I20" s="6"/>
      <c r="J20" s="14"/>
      <c r="K20" s="6"/>
      <c r="L20" s="14"/>
      <c r="M20" s="6"/>
      <c r="N20" s="14"/>
      <c r="O20" s="6"/>
      <c r="P20" s="14"/>
      <c r="Q20" s="6"/>
      <c r="R20" s="14"/>
      <c r="S20" s="6"/>
      <c r="T20" s="14"/>
      <c r="U20" s="6"/>
      <c r="V20" s="14"/>
      <c r="W20" s="6"/>
      <c r="X20" s="14"/>
      <c r="Y20" s="6"/>
      <c r="Z20" s="14"/>
      <c r="AA20" s="6"/>
      <c r="AB20" s="14"/>
      <c r="AC20" s="6"/>
      <c r="AD20" s="14"/>
      <c r="AE20" s="6"/>
      <c r="AF20" s="14"/>
      <c r="AG20" s="6"/>
      <c r="AH20" s="14"/>
      <c r="AI20" s="6"/>
      <c r="AJ20" s="14"/>
      <c r="AK20" s="6"/>
      <c r="AL20" s="14"/>
      <c r="AM20" s="6"/>
      <c r="AN20" s="14"/>
      <c r="AO20" s="6"/>
      <c r="AP20" s="14"/>
      <c r="AQ20" s="6"/>
      <c r="AR20" s="14"/>
      <c r="AS20" s="6"/>
      <c r="AT20" s="14"/>
      <c r="AU20" s="6"/>
      <c r="AV20" s="14"/>
      <c r="AW20" s="6"/>
      <c r="AX20" s="14"/>
      <c r="AY20" s="6"/>
      <c r="AZ20" s="14"/>
      <c r="BA20" s="6"/>
      <c r="BB20" s="14"/>
      <c r="BC20" s="6"/>
      <c r="BD20" s="14"/>
      <c r="BE20" s="6"/>
      <c r="BF20" s="14"/>
      <c r="BG20" s="6"/>
      <c r="BH20" s="14"/>
      <c r="BI20" s="6"/>
      <c r="BJ20" s="14"/>
      <c r="BK20" s="6"/>
      <c r="BL20" s="14"/>
      <c r="BM20" s="6"/>
      <c r="BN20" s="14"/>
      <c r="BO20" s="6"/>
      <c r="BP20" s="14"/>
      <c r="BQ20" s="6"/>
      <c r="BR20" s="14"/>
      <c r="BS20" s="6"/>
      <c r="BT20" s="14"/>
      <c r="BU20" s="6"/>
      <c r="BV20" s="14"/>
      <c r="BW20" s="6"/>
      <c r="BX20" s="14"/>
      <c r="BY20" s="6"/>
      <c r="BZ20" s="14"/>
      <c r="CA20" s="6"/>
      <c r="CB20" s="14"/>
      <c r="CC20" s="6"/>
      <c r="CD20" s="14"/>
      <c r="CE20" s="6"/>
      <c r="CF20" s="14"/>
      <c r="CG20" s="6"/>
      <c r="CH20" s="14"/>
      <c r="CI20" s="6"/>
      <c r="CJ20" s="14"/>
      <c r="CK20" s="6"/>
      <c r="CL20" s="14"/>
      <c r="CM20" s="6"/>
      <c r="CN20" s="14"/>
      <c r="CO20" s="6"/>
      <c r="CP20" s="14"/>
      <c r="CQ20" s="6"/>
      <c r="CR20" s="14"/>
      <c r="CS20" s="6"/>
      <c r="CT20" s="14"/>
      <c r="CU20" s="6"/>
      <c r="CV20" s="14"/>
      <c r="CW20" s="6"/>
      <c r="CX20" s="14"/>
      <c r="CY20" s="6"/>
      <c r="CZ20" s="14"/>
      <c r="DA20" s="6"/>
      <c r="DB20" s="14"/>
      <c r="DC20" s="6"/>
      <c r="DD20" s="14"/>
      <c r="DE20" s="6"/>
    </row>
    <row r="21" spans="2:110" x14ac:dyDescent="0.25">
      <c r="B21" s="29"/>
      <c r="C21" s="42" t="s">
        <v>5</v>
      </c>
      <c r="D21" s="15">
        <f>D15-D19</f>
        <v>21079</v>
      </c>
      <c r="E21" s="1">
        <f>IFERROR(D21/D$15,0)</f>
        <v>0.69698773269847569</v>
      </c>
      <c r="F21" s="15">
        <f>F15-F19</f>
        <v>21239</v>
      </c>
      <c r="G21" s="1">
        <f>IFERROR(F21/F$15,0)</f>
        <v>0.69700052507219745</v>
      </c>
      <c r="H21" s="15">
        <f>H15-H19</f>
        <v>17580</v>
      </c>
      <c r="I21" s="1">
        <f>IFERROR(H21/H$15,0)</f>
        <v>0.69701054634842596</v>
      </c>
      <c r="J21" s="15">
        <f>J15-J19</f>
        <v>20835</v>
      </c>
      <c r="K21" s="1">
        <f>IFERROR(J21/J$15,0)</f>
        <v>0.69698591643528585</v>
      </c>
      <c r="L21" s="15">
        <f>L15-L19</f>
        <v>22463</v>
      </c>
      <c r="M21" s="1">
        <f>IFERROR(L21/L$15,0)</f>
        <v>0.69700260642919198</v>
      </c>
      <c r="N21" s="15">
        <f>N15-N19</f>
        <v>22701</v>
      </c>
      <c r="O21" s="1">
        <f>IFERROR(N21/N$15,0)</f>
        <v>0.6969910961007062</v>
      </c>
      <c r="P21" s="15">
        <f>P15-P19</f>
        <v>31003</v>
      </c>
      <c r="Q21" s="1">
        <f>IFERROR(P21/P$15,0)</f>
        <v>0.69700989208633091</v>
      </c>
      <c r="R21" s="15">
        <f>R15-R19</f>
        <v>30897</v>
      </c>
      <c r="S21" s="1">
        <f>IFERROR(R21/R$15,0)</f>
        <v>0.69700866269626416</v>
      </c>
      <c r="T21" s="15">
        <f>T15-T19</f>
        <v>30491</v>
      </c>
      <c r="U21" s="1">
        <f>IFERROR(T21/T$15,0)</f>
        <v>0.69700086865084809</v>
      </c>
      <c r="V21" s="15">
        <f>V15-V19</f>
        <v>31443</v>
      </c>
      <c r="W21" s="1">
        <f>IFERROR(V21/V$15,0)</f>
        <v>0.6969985813087427</v>
      </c>
      <c r="X21" s="15">
        <f>X15-X19</f>
        <v>29216</v>
      </c>
      <c r="Y21" s="1">
        <f>IFERROR(X21/X$15,0)</f>
        <v>0.69699644535629934</v>
      </c>
      <c r="Z21" s="15">
        <f>Z15-Z19</f>
        <v>28325</v>
      </c>
      <c r="AA21" s="1">
        <f>IFERROR(Z21/Z$15,0)</f>
        <v>0.69699057555550092</v>
      </c>
      <c r="AB21" s="15">
        <f>AB15-AB19</f>
        <v>30090</v>
      </c>
      <c r="AC21" s="1">
        <f>IFERROR(AB21/AB$15,0)</f>
        <v>0.69699566838850158</v>
      </c>
      <c r="AD21" s="15">
        <f>AD15-AD19</f>
        <v>26797</v>
      </c>
      <c r="AE21" s="1">
        <f>IFERROR(AD21/AD$15,0)</f>
        <v>0.69700358945013785</v>
      </c>
      <c r="AF21" s="15">
        <f>AF15-AF19</f>
        <v>27203</v>
      </c>
      <c r="AG21" s="1">
        <f>IFERROR(AF21/AF$15,0)</f>
        <v>0.6970124013528749</v>
      </c>
      <c r="AH21" s="15">
        <f>AH15-AH19</f>
        <v>22142</v>
      </c>
      <c r="AI21" s="1">
        <f>IFERROR(AH21/AH$15,0)</f>
        <v>0.6970126231624012</v>
      </c>
      <c r="AJ21" s="15">
        <f>AJ15-AJ19</f>
        <v>27412</v>
      </c>
      <c r="AK21" s="1">
        <f>IFERROR(AJ21/AJ$15,0)</f>
        <v>0.69699204149609706</v>
      </c>
      <c r="AL21" s="15">
        <f>AL15-AL19</f>
        <v>25457</v>
      </c>
      <c r="AM21" s="1">
        <f>IFERROR(AL21/AL$15,0)</f>
        <v>0.69699375752929582</v>
      </c>
      <c r="AN21" s="15">
        <f>AN15-AN19</f>
        <v>31756</v>
      </c>
      <c r="AO21" s="1">
        <f>IFERROR(AN21/AN$15,0)</f>
        <v>0.69699962687386141</v>
      </c>
      <c r="AP21" s="15">
        <f>AP15-AP19</f>
        <v>27431</v>
      </c>
      <c r="AQ21" s="1">
        <f>IFERROR(AP21/AP$15,0)</f>
        <v>0.69699664600060984</v>
      </c>
      <c r="AR21" s="15">
        <f>AR15-AR19</f>
        <v>28954</v>
      </c>
      <c r="AS21" s="1">
        <f>IFERROR(AR21/AR$15,0)</f>
        <v>0.69699814640957125</v>
      </c>
      <c r="AT21" s="15">
        <f>AT15-AT19</f>
        <v>27280</v>
      </c>
      <c r="AU21" s="1">
        <f>IFERROR(AT21/AT$15,0)</f>
        <v>0.6970029893456654</v>
      </c>
      <c r="AV21" s="15">
        <f>AV15-AV19</f>
        <v>22915</v>
      </c>
      <c r="AW21" s="1">
        <f>IFERROR(AV21/AV$15,0)</f>
        <v>0.69699181798825927</v>
      </c>
      <c r="AX21" s="15">
        <f>AX15-AX19</f>
        <v>28854</v>
      </c>
      <c r="AY21" s="1">
        <f>IFERROR(AX21/AX$15,0)</f>
        <v>0.69700702949489091</v>
      </c>
      <c r="AZ21" s="15">
        <f>AZ15-AZ19</f>
        <v>23092</v>
      </c>
      <c r="BA21" s="1">
        <f>IFERROR(AZ21/AZ$15,0)</f>
        <v>0.69701177180802898</v>
      </c>
      <c r="BB21" s="15">
        <f>BB15-BB19</f>
        <v>24183</v>
      </c>
      <c r="BC21" s="1">
        <f>IFERROR(BB21/BB$15,0)</f>
        <v>0.69699677196218579</v>
      </c>
      <c r="BD21" s="15">
        <f>BD15-BD19</f>
        <v>22701</v>
      </c>
      <c r="BE21" s="1">
        <f>IFERROR(BD21/BD$15,0)</f>
        <v>0.69701249654579511</v>
      </c>
      <c r="BF21" s="15">
        <f>BF15-BF19</f>
        <v>22178</v>
      </c>
      <c r="BG21" s="1">
        <f>IFERROR(BF21/BF$15,0)</f>
        <v>0.69700493415883591</v>
      </c>
      <c r="BH21" s="15">
        <f>BH15-BH19</f>
        <v>21320</v>
      </c>
      <c r="BI21" s="1">
        <f>IFERROR(BH21/BH$15,0)</f>
        <v>0.6970053615797045</v>
      </c>
      <c r="BJ21" s="15">
        <f>BJ15-BJ19</f>
        <v>21944</v>
      </c>
      <c r="BK21" s="1">
        <f>IFERROR(BJ21/BJ$15,0)</f>
        <v>0.69701108534764789</v>
      </c>
      <c r="BL21" s="15">
        <f>BL15-BL19</f>
        <v>24611</v>
      </c>
      <c r="BM21" s="1">
        <f>IFERROR(BL21/BL$15,0)</f>
        <v>0.69699801755876523</v>
      </c>
      <c r="BN21" s="15">
        <f>BN15-BN19</f>
        <v>21842</v>
      </c>
      <c r="BO21" s="1">
        <f>IFERROR(BN21/BN$15,0)</f>
        <v>0.69700354213868587</v>
      </c>
      <c r="BP21" s="15">
        <f>BP15-BP19</f>
        <v>19621</v>
      </c>
      <c r="BQ21" s="1">
        <f>IFERROR(BP21/BP$15,0)</f>
        <v>0.69699122588895601</v>
      </c>
      <c r="BR21" s="15">
        <f>BR15-BR19</f>
        <v>18465</v>
      </c>
      <c r="BS21" s="1">
        <f>IFERROR(BR21/BR$15,0)</f>
        <v>0.69700286879057827</v>
      </c>
      <c r="BT21" s="15">
        <f>BT15-BT19</f>
        <v>24101</v>
      </c>
      <c r="BU21" s="1">
        <f>IFERROR(BT21/BT$15,0)</f>
        <v>0.69700387529643126</v>
      </c>
      <c r="BV21" s="15">
        <f>BV15-BV19</f>
        <v>19299</v>
      </c>
      <c r="BW21" s="1">
        <f>IFERROR(BV21/BV$15,0)</f>
        <v>0.69701675816238085</v>
      </c>
      <c r="BX21" s="15">
        <f>BX15-BX19</f>
        <v>20537</v>
      </c>
      <c r="BY21" s="1">
        <f>IFERROR(BX21/BX$15,0)</f>
        <v>0.6969964364500254</v>
      </c>
      <c r="BZ21" s="15">
        <f>BZ15-BZ19</f>
        <v>17909</v>
      </c>
      <c r="CA21" s="1">
        <f>IFERROR(BZ21/BZ$15,0)</f>
        <v>0.69701097532497858</v>
      </c>
      <c r="CB21" s="15">
        <f>CB15-CB19</f>
        <v>20341</v>
      </c>
      <c r="CC21" s="1">
        <f>IFERROR(CB21/CB$15,0)</f>
        <v>0.6970153856697392</v>
      </c>
      <c r="CD21" s="15">
        <f>CD15-CD19</f>
        <v>20675</v>
      </c>
      <c r="CE21" s="1">
        <f>IFERROR(CD21/CD$15,0)</f>
        <v>0.69699625796446751</v>
      </c>
      <c r="CF21" s="15">
        <f>CF15-CF19</f>
        <v>21780</v>
      </c>
      <c r="CG21" s="1">
        <f>IFERROR(CF21/CF$15,0)</f>
        <v>0.69700460829493083</v>
      </c>
      <c r="CH21" s="15">
        <f>CH15-CH19</f>
        <v>21729</v>
      </c>
      <c r="CI21" s="1">
        <f>IFERROR(CH21/CH$15,0)</f>
        <v>0.69700080192461911</v>
      </c>
      <c r="CJ21" s="15">
        <f>CJ15-CJ19</f>
        <v>23284</v>
      </c>
      <c r="CK21" s="1">
        <f>IFERROR(CJ21/CJ$15,0)</f>
        <v>0.69700053882536073</v>
      </c>
      <c r="CL21" s="15">
        <f>CL15-CL19</f>
        <v>25233</v>
      </c>
      <c r="CM21" s="1">
        <f>IFERROR(CL21/CL$15,0)</f>
        <v>0.69698643758804524</v>
      </c>
      <c r="CN21" s="15">
        <f>CN15-CN19</f>
        <v>23003</v>
      </c>
      <c r="CO21" s="1">
        <f>IFERROR(CN21/CN$15,0)</f>
        <v>0.69699724267490837</v>
      </c>
      <c r="CP21" s="15">
        <f>CP15-CP19</f>
        <v>21394</v>
      </c>
      <c r="CQ21" s="1">
        <f>IFERROR(CP21/CP$15,0)</f>
        <v>0.696986479882717</v>
      </c>
      <c r="CR21" s="15">
        <f>CR15-CR19</f>
        <v>18247</v>
      </c>
      <c r="CS21" s="1">
        <f>IFERROR(CR21/CR$15,0)</f>
        <v>0.69700905305779437</v>
      </c>
      <c r="CT21" s="15">
        <f>CT15-CT19</f>
        <v>20934</v>
      </c>
      <c r="CU21" s="1">
        <f>IFERROR(CT21/CT$15,0)</f>
        <v>0.69701005527069326</v>
      </c>
      <c r="CV21" s="15">
        <f>CV15-CV19</f>
        <v>21954</v>
      </c>
      <c r="CW21" s="1">
        <f>IFERROR(CV21/CV$15,0)</f>
        <v>0.69699663470696549</v>
      </c>
      <c r="CX21" s="15">
        <f>CX15-CX19</f>
        <v>24741</v>
      </c>
      <c r="CY21" s="1">
        <f>IFERROR(CX21/CX$15,0)</f>
        <v>0.69700811359026371</v>
      </c>
      <c r="CZ21" s="15">
        <f>CZ15-CZ19</f>
        <v>25962</v>
      </c>
      <c r="DA21" s="1">
        <f>IFERROR(CZ21/CZ$15,0)</f>
        <v>0.69700386597938147</v>
      </c>
      <c r="DB21" s="15">
        <f>DB15-DB19</f>
        <v>26950</v>
      </c>
      <c r="DC21" s="1">
        <f>IFERROR(DB21/DB$15,0)</f>
        <v>0.69701280227596019</v>
      </c>
      <c r="DD21" s="15">
        <f>SUM(OSRRefD21x_0)</f>
        <v>1251593</v>
      </c>
      <c r="DE21" s="1">
        <f>IFERROR(DD21/DD$15,0)</f>
        <v>0.69700147353484632</v>
      </c>
      <c r="DF21" s="51"/>
    </row>
    <row r="22" spans="2:110" x14ac:dyDescent="0.25">
      <c r="D22" s="11"/>
      <c r="E22" s="9"/>
      <c r="F22" s="11"/>
      <c r="G22" s="9"/>
      <c r="H22" s="11"/>
      <c r="I22" s="9"/>
      <c r="J22" s="11"/>
      <c r="K22" s="9"/>
      <c r="L22" s="11"/>
      <c r="M22" s="9"/>
      <c r="N22" s="11"/>
      <c r="O22" s="9"/>
      <c r="P22" s="11"/>
      <c r="Q22" s="9"/>
      <c r="R22" s="11"/>
      <c r="S22" s="9"/>
      <c r="T22" s="11"/>
      <c r="U22" s="9"/>
      <c r="V22" s="11"/>
      <c r="W22" s="9"/>
      <c r="X22" s="11"/>
      <c r="Y22" s="9"/>
      <c r="Z22" s="11"/>
      <c r="AA22" s="9"/>
      <c r="AB22" s="11"/>
      <c r="AC22" s="9"/>
      <c r="AD22" s="11"/>
      <c r="AE22" s="9"/>
      <c r="AF22" s="11"/>
      <c r="AG22" s="9"/>
      <c r="AH22" s="11"/>
      <c r="AI22" s="9"/>
      <c r="AJ22" s="11"/>
      <c r="AK22" s="9"/>
      <c r="AL22" s="11"/>
      <c r="AM22" s="9"/>
      <c r="AN22" s="11"/>
      <c r="AO22" s="9"/>
      <c r="AP22" s="11"/>
      <c r="AQ22" s="9"/>
      <c r="AR22" s="11"/>
      <c r="AS22" s="9"/>
      <c r="AT22" s="11"/>
      <c r="AU22" s="9"/>
      <c r="AV22" s="11"/>
      <c r="AW22" s="9"/>
      <c r="AX22" s="11"/>
      <c r="AY22" s="9"/>
      <c r="AZ22" s="11"/>
      <c r="BA22" s="9"/>
      <c r="BB22" s="11"/>
      <c r="BC22" s="9"/>
      <c r="BD22" s="11"/>
      <c r="BE22" s="9"/>
      <c r="BF22" s="11"/>
      <c r="BG22" s="9"/>
      <c r="BH22" s="11"/>
      <c r="BI22" s="9"/>
      <c r="BJ22" s="11"/>
      <c r="BK22" s="9"/>
      <c r="BL22" s="11"/>
      <c r="BM22" s="9"/>
      <c r="BN22" s="11"/>
      <c r="BO22" s="9"/>
      <c r="BP22" s="11"/>
      <c r="BQ22" s="9"/>
      <c r="BR22" s="11"/>
      <c r="BS22" s="9"/>
      <c r="BT22" s="11"/>
      <c r="BU22" s="9"/>
      <c r="BV22" s="11"/>
      <c r="BW22" s="9"/>
      <c r="BX22" s="11"/>
      <c r="BY22" s="9"/>
      <c r="BZ22" s="11"/>
      <c r="CA22" s="9"/>
      <c r="CB22" s="11"/>
      <c r="CC22" s="9"/>
      <c r="CD22" s="11"/>
      <c r="CE22" s="9"/>
      <c r="CF22" s="11"/>
      <c r="CG22" s="9"/>
      <c r="CH22" s="11"/>
      <c r="CI22" s="9"/>
      <c r="CJ22" s="11"/>
      <c r="CK22" s="9"/>
      <c r="CL22" s="11"/>
      <c r="CM22" s="9"/>
      <c r="CN22" s="11"/>
      <c r="CO22" s="9"/>
      <c r="CP22" s="11"/>
      <c r="CQ22" s="9"/>
      <c r="CR22" s="11"/>
      <c r="CS22" s="9"/>
      <c r="CT22" s="11"/>
      <c r="CU22" s="9"/>
      <c r="CV22" s="11"/>
      <c r="CW22" s="9"/>
      <c r="CX22" s="11"/>
      <c r="CY22" s="9"/>
      <c r="CZ22" s="11"/>
      <c r="DA22" s="9"/>
      <c r="DB22" s="11"/>
      <c r="DC22" s="9"/>
      <c r="DD22" s="11"/>
      <c r="DE22" s="9"/>
    </row>
    <row r="23" spans="2:110" outlineLevel="1" x14ac:dyDescent="0.25">
      <c r="B23">
        <v>32000</v>
      </c>
      <c r="C23" t="s">
        <v>38</v>
      </c>
      <c r="D23" s="5">
        <f>IFERROR(-5689*-1,0)</f>
        <v>5689</v>
      </c>
      <c r="E23" s="4">
        <f>IFERROR(D23/D$11,0)</f>
        <v>0.15067404719654634</v>
      </c>
      <c r="F23" s="5">
        <f>IFERROR(-5632*-1,0)</f>
        <v>5632</v>
      </c>
      <c r="G23" s="4">
        <f>IFERROR(F23/F$11,0)</f>
        <v>0.14880968108436601</v>
      </c>
      <c r="H23" s="5">
        <f>IFERROR(-5783*-1,0)</f>
        <v>5783</v>
      </c>
      <c r="I23" s="4">
        <f>IFERROR(H23/H$11,0)</f>
        <v>0.17697463047403372</v>
      </c>
      <c r="J23" s="5">
        <f>IFERROR(-6214*-1,0)</f>
        <v>6214</v>
      </c>
      <c r="K23" s="4">
        <f>IFERROR(J23/J$11,0)</f>
        <v>0.1626999711989108</v>
      </c>
      <c r="L23" s="5">
        <f>IFERROR(-6550*-1,0)</f>
        <v>6550</v>
      </c>
      <c r="M23" s="4">
        <f>IFERROR(L23/L$11,0)</f>
        <v>0.16188028273441749</v>
      </c>
      <c r="N23" s="5">
        <f>IFERROR(-5675*-1,0)</f>
        <v>5675</v>
      </c>
      <c r="O23" s="4">
        <f>IFERROR(N23/N$11,0)</f>
        <v>0.14131679864535088</v>
      </c>
      <c r="P23" s="5">
        <f>IFERROR(-8557*-1,0)</f>
        <v>8557</v>
      </c>
      <c r="Q23" s="4">
        <f>IFERROR(P23/P$11,0)</f>
        <v>0.15424966200991438</v>
      </c>
      <c r="R23" s="5">
        <f>IFERROR(-8396*-1,0)</f>
        <v>8396</v>
      </c>
      <c r="S23" s="4">
        <f>IFERROR(R23/R$11,0)</f>
        <v>0.1528073528073528</v>
      </c>
      <c r="T23" s="5">
        <f>IFERROR(-7605*-1,0)</f>
        <v>7605</v>
      </c>
      <c r="U23" s="4">
        <f>IFERROR(T23/T$11,0)</f>
        <v>0.14069003792433632</v>
      </c>
      <c r="V23" s="5">
        <f>IFERROR(-8113*-1,0)</f>
        <v>8113</v>
      </c>
      <c r="W23" s="4">
        <f>IFERROR(V23/V$11,0)</f>
        <v>0.14527710627630047</v>
      </c>
      <c r="X23" s="5">
        <f>IFERROR(-8361*-1,0)</f>
        <v>8361</v>
      </c>
      <c r="Y23" s="4">
        <f>IFERROR(X23/X$11,0)</f>
        <v>0.15745169673458626</v>
      </c>
      <c r="Z23" s="5">
        <f>IFERROR(-7233*-1,0)</f>
        <v>7233</v>
      </c>
      <c r="AA23" s="4">
        <f>IFERROR(Z23/Z$11,0)</f>
        <v>0.14308605341246292</v>
      </c>
      <c r="AB23" s="5">
        <f>IFERROR(-7086*-1,0)</f>
        <v>7086</v>
      </c>
      <c r="AC23" s="4">
        <f>IFERROR(AB23/AB$11,0)</f>
        <v>0.13417405135196547</v>
      </c>
      <c r="AD23" s="5">
        <f>IFERROR(-7206*-1,0)</f>
        <v>7206</v>
      </c>
      <c r="AE23" s="4">
        <f>IFERROR(AD23/AD$11,0)</f>
        <v>0.15004372631491275</v>
      </c>
      <c r="AF23" s="5">
        <f>IFERROR(-7852*-1,0)</f>
        <v>7852</v>
      </c>
      <c r="AG23" s="4">
        <f>IFERROR(AF23/AF$11,0)</f>
        <v>0.15901818623678562</v>
      </c>
      <c r="AH23" s="5">
        <f>IFERROR(-6478*-1,0)</f>
        <v>6478</v>
      </c>
      <c r="AI23" s="4">
        <f>IFERROR(AH23/AH$11,0)</f>
        <v>0.16117234344288806</v>
      </c>
      <c r="AJ23" s="5">
        <f>IFERROR(-6630*-1,0)</f>
        <v>6630</v>
      </c>
      <c r="AK23" s="4">
        <f>IFERROR(AJ23/AJ$11,0)</f>
        <v>0.13772044618931886</v>
      </c>
      <c r="AL23" s="5">
        <f>IFERROR(-6234*-1,0)</f>
        <v>6234</v>
      </c>
      <c r="AM23" s="4">
        <f>IFERROR(AL23/AL$11,0)</f>
        <v>0.13880168325429162</v>
      </c>
      <c r="AN23" s="5">
        <f>IFERROR(-6666*-1,0)</f>
        <v>6666</v>
      </c>
      <c r="AO23" s="4">
        <f>IFERROR(AN23/AN$11,0)</f>
        <v>0.12180904522613065</v>
      </c>
      <c r="AP23" s="5">
        <f>IFERROR(-7096*-1,0)</f>
        <v>7096</v>
      </c>
      <c r="AQ23" s="4">
        <f>IFERROR(AP23/AP$11,0)</f>
        <v>0.14415439309294059</v>
      </c>
      <c r="AR23" s="5">
        <f>IFERROR(-7119*-1,0)</f>
        <v>7119</v>
      </c>
      <c r="AS23" s="4">
        <f>IFERROR(AR23/AR$11,0)</f>
        <v>0.13998073028295024</v>
      </c>
      <c r="AT23" s="5">
        <f>IFERROR(-6836*-1,0)</f>
        <v>6836</v>
      </c>
      <c r="AU23" s="4">
        <f>IFERROR(AT23/AT$11,0)</f>
        <v>0.14189048943501184</v>
      </c>
      <c r="AV23" s="5">
        <f>IFERROR(-5886*-1,0)</f>
        <v>5886</v>
      </c>
      <c r="AW23" s="4">
        <f>IFERROR(AV23/AV$11,0)</f>
        <v>0.14282594452937322</v>
      </c>
      <c r="AX23" s="5">
        <f>IFERROR(-7474*-1,0)</f>
        <v>7474</v>
      </c>
      <c r="AY23" s="4">
        <f>IFERROR(AX23/AX$11,0)</f>
        <v>0.14523337608332362</v>
      </c>
      <c r="AZ23" s="5">
        <f>IFERROR(-6514*-1,0)</f>
        <v>6514</v>
      </c>
      <c r="BA23" s="4">
        <f>IFERROR(AZ23/AZ$11,0)</f>
        <v>0.15660536122130064</v>
      </c>
      <c r="BB23" s="5">
        <f>IFERROR(-7090*-1,0)</f>
        <v>7090</v>
      </c>
      <c r="BC23" s="4">
        <f>IFERROR(BB23/BB$11,0)</f>
        <v>0.1633301849846806</v>
      </c>
      <c r="BD23" s="5">
        <f>IFERROR(-5545*-1,0)</f>
        <v>5545</v>
      </c>
      <c r="BE23" s="4">
        <f>IFERROR(BD23/BD$11,0)</f>
        <v>0.13894805422607562</v>
      </c>
      <c r="BF23" s="5">
        <f>IFERROR(-5562*-1,0)</f>
        <v>5562</v>
      </c>
      <c r="BG23" s="4">
        <f>IFERROR(BF23/BF$11,0)</f>
        <v>0.14279479345844778</v>
      </c>
      <c r="BH23" s="5">
        <f>IFERROR(-5656*-1,0)</f>
        <v>5656</v>
      </c>
      <c r="BI23" s="4">
        <f>IFERROR(BH23/BH$11,0)</f>
        <v>0.14997878659312686</v>
      </c>
      <c r="BJ23" s="5">
        <f>IFERROR(-5385*-1,0)</f>
        <v>5385</v>
      </c>
      <c r="BK23" s="4">
        <f>IFERROR(BJ23/BJ$11,0)</f>
        <v>0.13920124079100427</v>
      </c>
      <c r="BL23" s="5">
        <f>IFERROR(-5848*-1,0)</f>
        <v>5848</v>
      </c>
      <c r="BM23" s="4">
        <f>IFERROR(BL23/BL$11,0)</f>
        <v>0.13675373570610108</v>
      </c>
      <c r="BN23" s="5">
        <f>IFERROR(-7018*-1,0)</f>
        <v>7018</v>
      </c>
      <c r="BO23" s="4">
        <f>IFERROR(BN23/BN$11,0)</f>
        <v>0.17514786992438044</v>
      </c>
      <c r="BP23" s="5">
        <f>IFERROR(-5092*-1,0)</f>
        <v>5092</v>
      </c>
      <c r="BQ23" s="4">
        <f>IFERROR(BP23/BP$11,0)</f>
        <v>0.14362272240085744</v>
      </c>
      <c r="BR23" s="5">
        <f>IFERROR(-4972*-1,0)</f>
        <v>4972</v>
      </c>
      <c r="BS23" s="4">
        <f>IFERROR(BR23/BR$11,0)</f>
        <v>0.1498538232014226</v>
      </c>
      <c r="BT23" s="5">
        <f>IFERROR(-6207*-1,0)</f>
        <v>6207</v>
      </c>
      <c r="BU23" s="4">
        <f>IFERROR(BT23/BT$11,0)</f>
        <v>0.14548224540021096</v>
      </c>
      <c r="BV23" s="5">
        <f>IFERROR(-5014*-1,0)</f>
        <v>5014</v>
      </c>
      <c r="BW23" s="4">
        <f>IFERROR(BV23/BV$11,0)</f>
        <v>0.14643691588785046</v>
      </c>
      <c r="BX23" s="5">
        <f>IFERROR(-5937*-1,0)</f>
        <v>5937</v>
      </c>
      <c r="BY23" s="4">
        <f>IFERROR(BX23/BX$11,0)</f>
        <v>0.15926283598905522</v>
      </c>
      <c r="BZ23" s="5">
        <f>IFERROR(-5555*-1,0)</f>
        <v>5555</v>
      </c>
      <c r="CA23" s="4">
        <f>IFERROR(BZ23/BZ$11,0)</f>
        <v>0.16917407723230601</v>
      </c>
      <c r="CB23" s="5">
        <f>IFERROR(-6187*-1,0)</f>
        <v>6187</v>
      </c>
      <c r="CC23" s="4">
        <f>IFERROR(CB23/CB$11,0)</f>
        <v>0.16629038327151535</v>
      </c>
      <c r="CD23" s="5">
        <f>IFERROR(-5706*-1,0)</f>
        <v>5706</v>
      </c>
      <c r="CE23" s="4">
        <f>IFERROR(CD23/CD$11,0)</f>
        <v>0.1527710843373494</v>
      </c>
      <c r="CF23" s="5">
        <f>IFERROR(-5352*-1,0)</f>
        <v>5352</v>
      </c>
      <c r="CG23" s="4">
        <f>IFERROR(CF23/CF$11,0)</f>
        <v>0.14003139717425431</v>
      </c>
      <c r="CH23" s="5">
        <f>IFERROR(-6086*-1,0)</f>
        <v>6086</v>
      </c>
      <c r="CI23" s="4">
        <f>IFERROR(CH23/CH$11,0)</f>
        <v>0.15544544340008173</v>
      </c>
      <c r="CJ23" s="5">
        <f>IFERROR(-6232*-1,0)</f>
        <v>6232</v>
      </c>
      <c r="CK23" s="4">
        <f>IFERROR(CJ23/CJ$11,0)</f>
        <v>0.14962785114045618</v>
      </c>
      <c r="CL23" s="5">
        <f>IFERROR(-6804*-1,0)</f>
        <v>6804</v>
      </c>
      <c r="CM23" s="4">
        <f>IFERROR(CL23/CL$11,0)</f>
        <v>0.15093502517802082</v>
      </c>
      <c r="CN23" s="5">
        <f>IFERROR(-6309*-1,0)</f>
        <v>6309</v>
      </c>
      <c r="CO23" s="4">
        <f>IFERROR(CN23/CN$11,0)</f>
        <v>0.15301593461230628</v>
      </c>
      <c r="CP23" s="5">
        <f>IFERROR(-6817*-1,0)</f>
        <v>6817</v>
      </c>
      <c r="CQ23" s="4">
        <f>IFERROR(CP23/CP$11,0)</f>
        <v>0.17213342423553771</v>
      </c>
      <c r="CR23" s="5">
        <f>IFERROR(-5111*-1,0)</f>
        <v>5111</v>
      </c>
      <c r="CS23" s="4">
        <f>IFERROR(CR23/CR$11,0)</f>
        <v>0.15525988031228166</v>
      </c>
      <c r="CT23" s="5">
        <f>IFERROR(-5963*-1,0)</f>
        <v>5963</v>
      </c>
      <c r="CU23" s="4">
        <f>IFERROR(CT23/CT$11,0)</f>
        <v>0.15603820489336648</v>
      </c>
      <c r="CV23" s="5">
        <f>IFERROR(-5304*-1,0)</f>
        <v>5304</v>
      </c>
      <c r="CW23" s="4">
        <f>IFERROR(CV23/CV$11,0)</f>
        <v>0.1359721082854799</v>
      </c>
      <c r="CX23" s="5">
        <f>IFERROR(-6951*-1,0)</f>
        <v>6951</v>
      </c>
      <c r="CY23" s="4">
        <f>IFERROR(CX23/CX$11,0)</f>
        <v>0.15417544637906178</v>
      </c>
      <c r="CZ23" s="5">
        <f>IFERROR(-6329*-1,0)</f>
        <v>6329</v>
      </c>
      <c r="DA23" s="4">
        <f>IFERROR(CZ23/CZ$11,0)</f>
        <v>0.13781765128584805</v>
      </c>
      <c r="DB23" s="5">
        <f>IFERROR(-6054*-1,0)</f>
        <v>6054</v>
      </c>
      <c r="DC23" s="4">
        <f>IFERROR(DB23/DB$11,0)</f>
        <v>0.12958047945205478</v>
      </c>
      <c r="DD23" s="5">
        <f>SUM(OSRRefD23_0x_0)</f>
        <v>332971</v>
      </c>
      <c r="DE23" s="4">
        <f>IFERROR(DD23/DD$11,0)</f>
        <v>0.14889430758340486</v>
      </c>
    </row>
    <row r="24" spans="2:110" ht="3.95" customHeight="1" x14ac:dyDescent="0.25">
      <c r="D24" s="5"/>
      <c r="E24" s="4"/>
      <c r="F24" s="5"/>
      <c r="G24" s="4"/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  <c r="S24" s="4"/>
      <c r="T24" s="5"/>
      <c r="U24" s="4"/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5"/>
      <c r="AK24" s="4"/>
      <c r="AL24" s="5"/>
      <c r="AM24" s="4"/>
      <c r="AN24" s="5"/>
      <c r="AO24" s="4"/>
      <c r="AP24" s="5"/>
      <c r="AQ24" s="4"/>
      <c r="AR24" s="5"/>
      <c r="AS24" s="4"/>
      <c r="AT24" s="5"/>
      <c r="AU24" s="4"/>
      <c r="AV24" s="5"/>
      <c r="AW24" s="4"/>
      <c r="AX24" s="5"/>
      <c r="AY24" s="4"/>
      <c r="AZ24" s="5"/>
      <c r="BA24" s="4"/>
      <c r="BB24" s="5"/>
      <c r="BC24" s="4"/>
      <c r="BD24" s="5"/>
      <c r="BE24" s="4"/>
      <c r="BF24" s="5"/>
      <c r="BG24" s="4"/>
      <c r="BH24" s="5"/>
      <c r="BI24" s="4"/>
      <c r="BJ24" s="5"/>
      <c r="BK24" s="4"/>
      <c r="BL24" s="5"/>
      <c r="BM24" s="4"/>
      <c r="BN24" s="5"/>
      <c r="BO24" s="4"/>
      <c r="BP24" s="5"/>
      <c r="BQ24" s="4"/>
      <c r="BR24" s="5"/>
      <c r="BS24" s="4"/>
      <c r="BT24" s="5"/>
      <c r="BU24" s="4"/>
      <c r="BV24" s="5"/>
      <c r="BW24" s="4"/>
      <c r="BX24" s="5"/>
      <c r="BY24" s="4"/>
      <c r="BZ24" s="5"/>
      <c r="CA24" s="4"/>
      <c r="CB24" s="5"/>
      <c r="CC24" s="4"/>
      <c r="CD24" s="5"/>
      <c r="CE24" s="4"/>
      <c r="CF24" s="5"/>
      <c r="CG24" s="4"/>
      <c r="CH24" s="5"/>
      <c r="CI24" s="4"/>
      <c r="CJ24" s="5"/>
      <c r="CK24" s="4"/>
      <c r="CL24" s="5"/>
      <c r="CM24" s="4"/>
      <c r="CN24" s="5"/>
      <c r="CO24" s="4"/>
      <c r="CP24" s="5"/>
      <c r="CQ24" s="4"/>
      <c r="CR24" s="5"/>
      <c r="CS24" s="4"/>
      <c r="CT24" s="5"/>
      <c r="CU24" s="4"/>
      <c r="CV24" s="5"/>
      <c r="CW24" s="4"/>
      <c r="CX24" s="5"/>
      <c r="CY24" s="4"/>
      <c r="CZ24" s="5"/>
      <c r="DA24" s="4"/>
      <c r="DB24" s="5"/>
      <c r="DC24" s="4"/>
      <c r="DD24" s="5"/>
      <c r="DE24" s="4"/>
    </row>
    <row r="25" spans="2:110" x14ac:dyDescent="0.25">
      <c r="C25" s="35" t="s">
        <v>24</v>
      </c>
      <c r="D25" s="5">
        <f>SUM(D23:D24)</f>
        <v>5689</v>
      </c>
      <c r="E25" s="4">
        <f t="shared" ref="E25:E26" si="0">IFERROR(D25/D$11,0)</f>
        <v>0.15067404719654634</v>
      </c>
      <c r="F25" s="5">
        <f>SUM(F23:F24)</f>
        <v>5632</v>
      </c>
      <c r="G25" s="4">
        <f t="shared" ref="G25:G26" si="1">IFERROR(F25/F$11,0)</f>
        <v>0.14880968108436601</v>
      </c>
      <c r="H25" s="5">
        <f>SUM(H23:H24)</f>
        <v>5783</v>
      </c>
      <c r="I25" s="4">
        <f t="shared" ref="I25:I26" si="2">IFERROR(H25/H$11,0)</f>
        <v>0.17697463047403372</v>
      </c>
      <c r="J25" s="5">
        <f>SUM(J23:J24)</f>
        <v>6214</v>
      </c>
      <c r="K25" s="4">
        <f t="shared" ref="K25:K26" si="3">IFERROR(J25/J$11,0)</f>
        <v>0.1626999711989108</v>
      </c>
      <c r="L25" s="5">
        <f>SUM(L23:L24)</f>
        <v>6550</v>
      </c>
      <c r="M25" s="4">
        <f t="shared" ref="M25:M26" si="4">IFERROR(L25/L$11,0)</f>
        <v>0.16188028273441749</v>
      </c>
      <c r="N25" s="5">
        <f>SUM(N23:N24)</f>
        <v>5675</v>
      </c>
      <c r="O25" s="4">
        <f t="shared" ref="O25:O26" si="5">IFERROR(N25/N$11,0)</f>
        <v>0.14131679864535088</v>
      </c>
      <c r="P25" s="5">
        <f>SUM(P23:P24)</f>
        <v>8557</v>
      </c>
      <c r="Q25" s="4">
        <f t="shared" ref="Q25:Q26" si="6">IFERROR(P25/P$11,0)</f>
        <v>0.15424966200991438</v>
      </c>
      <c r="R25" s="5">
        <f>SUM(R23:R24)</f>
        <v>8396</v>
      </c>
      <c r="S25" s="4">
        <f t="shared" ref="S25:S26" si="7">IFERROR(R25/R$11,0)</f>
        <v>0.1528073528073528</v>
      </c>
      <c r="T25" s="5">
        <f>SUM(T23:T24)</f>
        <v>7605</v>
      </c>
      <c r="U25" s="4">
        <f t="shared" ref="U25:U26" si="8">IFERROR(T25/T$11,0)</f>
        <v>0.14069003792433632</v>
      </c>
      <c r="V25" s="5">
        <f>SUM(V23:V24)</f>
        <v>8113</v>
      </c>
      <c r="W25" s="4">
        <f t="shared" ref="W25:W26" si="9">IFERROR(V25/V$11,0)</f>
        <v>0.14527710627630047</v>
      </c>
      <c r="X25" s="5">
        <f>SUM(X23:X24)</f>
        <v>8361</v>
      </c>
      <c r="Y25" s="4">
        <f t="shared" ref="Y25:Y26" si="10">IFERROR(X25/X$11,0)</f>
        <v>0.15745169673458626</v>
      </c>
      <c r="Z25" s="5">
        <f>SUM(Z23:Z24)</f>
        <v>7233</v>
      </c>
      <c r="AA25" s="4">
        <f t="shared" ref="AA25:AA26" si="11">IFERROR(Z25/Z$11,0)</f>
        <v>0.14308605341246292</v>
      </c>
      <c r="AB25" s="5">
        <f>SUM(AB23:AB24)</f>
        <v>7086</v>
      </c>
      <c r="AC25" s="4">
        <f t="shared" ref="AC25:AC26" si="12">IFERROR(AB25/AB$11,0)</f>
        <v>0.13417405135196547</v>
      </c>
      <c r="AD25" s="5">
        <f>SUM(AD23:AD24)</f>
        <v>7206</v>
      </c>
      <c r="AE25" s="4">
        <f t="shared" ref="AE25:AE26" si="13">IFERROR(AD25/AD$11,0)</f>
        <v>0.15004372631491275</v>
      </c>
      <c r="AF25" s="5">
        <f>SUM(AF23:AF24)</f>
        <v>7852</v>
      </c>
      <c r="AG25" s="4">
        <f t="shared" ref="AG25:AG26" si="14">IFERROR(AF25/AF$11,0)</f>
        <v>0.15901818623678562</v>
      </c>
      <c r="AH25" s="5">
        <f>SUM(AH23:AH24)</f>
        <v>6478</v>
      </c>
      <c r="AI25" s="4">
        <f t="shared" ref="AI25:AI26" si="15">IFERROR(AH25/AH$11,0)</f>
        <v>0.16117234344288806</v>
      </c>
      <c r="AJ25" s="5">
        <f>SUM(AJ23:AJ24)</f>
        <v>6630</v>
      </c>
      <c r="AK25" s="4">
        <f t="shared" ref="AK25:AK26" si="16">IFERROR(AJ25/AJ$11,0)</f>
        <v>0.13772044618931886</v>
      </c>
      <c r="AL25" s="5">
        <f>SUM(AL23:AL24)</f>
        <v>6234</v>
      </c>
      <c r="AM25" s="4">
        <f t="shared" ref="AM25:AM26" si="17">IFERROR(AL25/AL$11,0)</f>
        <v>0.13880168325429162</v>
      </c>
      <c r="AN25" s="5">
        <f>SUM(AN23:AN24)</f>
        <v>6666</v>
      </c>
      <c r="AO25" s="4">
        <f t="shared" ref="AO25:AO26" si="18">IFERROR(AN25/AN$11,0)</f>
        <v>0.12180904522613065</v>
      </c>
      <c r="AP25" s="5">
        <f>SUM(AP23:AP24)</f>
        <v>7096</v>
      </c>
      <c r="AQ25" s="4">
        <f t="shared" ref="AQ25:AQ26" si="19">IFERROR(AP25/AP$11,0)</f>
        <v>0.14415439309294059</v>
      </c>
      <c r="AR25" s="5">
        <f>SUM(AR23:AR24)</f>
        <v>7119</v>
      </c>
      <c r="AS25" s="4">
        <f t="shared" ref="AS25:AS26" si="20">IFERROR(AR25/AR$11,0)</f>
        <v>0.13998073028295024</v>
      </c>
      <c r="AT25" s="5">
        <f>SUM(AT23:AT24)</f>
        <v>6836</v>
      </c>
      <c r="AU25" s="4">
        <f t="shared" ref="AU25:AU26" si="21">IFERROR(AT25/AT$11,0)</f>
        <v>0.14189048943501184</v>
      </c>
      <c r="AV25" s="5">
        <f>SUM(AV23:AV24)</f>
        <v>5886</v>
      </c>
      <c r="AW25" s="4">
        <f t="shared" ref="AW25:AW26" si="22">IFERROR(AV25/AV$11,0)</f>
        <v>0.14282594452937322</v>
      </c>
      <c r="AX25" s="5">
        <f>SUM(AX23:AX24)</f>
        <v>7474</v>
      </c>
      <c r="AY25" s="4">
        <f t="shared" ref="AY25:AY26" si="23">IFERROR(AX25/AX$11,0)</f>
        <v>0.14523337608332362</v>
      </c>
      <c r="AZ25" s="5">
        <f>SUM(AZ23:AZ24)</f>
        <v>6514</v>
      </c>
      <c r="BA25" s="4">
        <f t="shared" ref="BA25:BA26" si="24">IFERROR(AZ25/AZ$11,0)</f>
        <v>0.15660536122130064</v>
      </c>
      <c r="BB25" s="5">
        <f>SUM(BB23:BB24)</f>
        <v>7090</v>
      </c>
      <c r="BC25" s="4">
        <f t="shared" ref="BC25:BC26" si="25">IFERROR(BB25/BB$11,0)</f>
        <v>0.1633301849846806</v>
      </c>
      <c r="BD25" s="5">
        <f>SUM(BD23:BD24)</f>
        <v>5545</v>
      </c>
      <c r="BE25" s="4">
        <f t="shared" ref="BE25:BE26" si="26">IFERROR(BD25/BD$11,0)</f>
        <v>0.13894805422607562</v>
      </c>
      <c r="BF25" s="5">
        <f>SUM(BF23:BF24)</f>
        <v>5562</v>
      </c>
      <c r="BG25" s="4">
        <f t="shared" ref="BG25:BG26" si="27">IFERROR(BF25/BF$11,0)</f>
        <v>0.14279479345844778</v>
      </c>
      <c r="BH25" s="5">
        <f>SUM(BH23:BH24)</f>
        <v>5656</v>
      </c>
      <c r="BI25" s="4">
        <f t="shared" ref="BI25:BI26" si="28">IFERROR(BH25/BH$11,0)</f>
        <v>0.14997878659312686</v>
      </c>
      <c r="BJ25" s="5">
        <f>SUM(BJ23:BJ24)</f>
        <v>5385</v>
      </c>
      <c r="BK25" s="4">
        <f t="shared" ref="BK25:BK26" si="29">IFERROR(BJ25/BJ$11,0)</f>
        <v>0.13920124079100427</v>
      </c>
      <c r="BL25" s="5">
        <f>SUM(BL23:BL24)</f>
        <v>5848</v>
      </c>
      <c r="BM25" s="4">
        <f t="shared" ref="BM25:BM26" si="30">IFERROR(BL25/BL$11,0)</f>
        <v>0.13675373570610108</v>
      </c>
      <c r="BN25" s="5">
        <f>SUM(BN23:BN24)</f>
        <v>7018</v>
      </c>
      <c r="BO25" s="4">
        <f t="shared" ref="BO25:BO26" si="31">IFERROR(BN25/BN$11,0)</f>
        <v>0.17514786992438044</v>
      </c>
      <c r="BP25" s="5">
        <f>SUM(BP23:BP24)</f>
        <v>5092</v>
      </c>
      <c r="BQ25" s="4">
        <f t="shared" ref="BQ25:BQ26" si="32">IFERROR(BP25/BP$11,0)</f>
        <v>0.14362272240085744</v>
      </c>
      <c r="BR25" s="5">
        <f>SUM(BR23:BR24)</f>
        <v>4972</v>
      </c>
      <c r="BS25" s="4">
        <f t="shared" ref="BS25:BS26" si="33">IFERROR(BR25/BR$11,0)</f>
        <v>0.1498538232014226</v>
      </c>
      <c r="BT25" s="5">
        <f>SUM(BT23:BT24)</f>
        <v>6207</v>
      </c>
      <c r="BU25" s="4">
        <f t="shared" ref="BU25:BU26" si="34">IFERROR(BT25/BT$11,0)</f>
        <v>0.14548224540021096</v>
      </c>
      <c r="BV25" s="5">
        <f>SUM(BV23:BV24)</f>
        <v>5014</v>
      </c>
      <c r="BW25" s="4">
        <f t="shared" ref="BW25:BW26" si="35">IFERROR(BV25/BV$11,0)</f>
        <v>0.14643691588785046</v>
      </c>
      <c r="BX25" s="5">
        <f>SUM(BX23:BX24)</f>
        <v>5937</v>
      </c>
      <c r="BY25" s="4">
        <f t="shared" ref="BY25:BY26" si="36">IFERROR(BX25/BX$11,0)</f>
        <v>0.15926283598905522</v>
      </c>
      <c r="BZ25" s="5">
        <f>SUM(BZ23:BZ24)</f>
        <v>5555</v>
      </c>
      <c r="CA25" s="4">
        <f t="shared" ref="CA25:CA26" si="37">IFERROR(BZ25/BZ$11,0)</f>
        <v>0.16917407723230601</v>
      </c>
      <c r="CB25" s="5">
        <f>SUM(CB23:CB24)</f>
        <v>6187</v>
      </c>
      <c r="CC25" s="4">
        <f t="shared" ref="CC25:CC26" si="38">IFERROR(CB25/CB$11,0)</f>
        <v>0.16629038327151535</v>
      </c>
      <c r="CD25" s="5">
        <f>SUM(CD23:CD24)</f>
        <v>5706</v>
      </c>
      <c r="CE25" s="4">
        <f t="shared" ref="CE25:CE26" si="39">IFERROR(CD25/CD$11,0)</f>
        <v>0.1527710843373494</v>
      </c>
      <c r="CF25" s="5">
        <f>SUM(CF23:CF24)</f>
        <v>5352</v>
      </c>
      <c r="CG25" s="4">
        <f t="shared" ref="CG25:CG26" si="40">IFERROR(CF25/CF$11,0)</f>
        <v>0.14003139717425431</v>
      </c>
      <c r="CH25" s="5">
        <f>SUM(CH23:CH24)</f>
        <v>6086</v>
      </c>
      <c r="CI25" s="4">
        <f t="shared" ref="CI25:CI26" si="41">IFERROR(CH25/CH$11,0)</f>
        <v>0.15544544340008173</v>
      </c>
      <c r="CJ25" s="5">
        <f>SUM(CJ23:CJ24)</f>
        <v>6232</v>
      </c>
      <c r="CK25" s="4">
        <f t="shared" ref="CK25:CK26" si="42">IFERROR(CJ25/CJ$11,0)</f>
        <v>0.14962785114045618</v>
      </c>
      <c r="CL25" s="5">
        <f>SUM(CL23:CL24)</f>
        <v>6804</v>
      </c>
      <c r="CM25" s="4">
        <f t="shared" ref="CM25:CM26" si="43">IFERROR(CL25/CL$11,0)</f>
        <v>0.15093502517802082</v>
      </c>
      <c r="CN25" s="5">
        <f>SUM(CN23:CN24)</f>
        <v>6309</v>
      </c>
      <c r="CO25" s="4">
        <f t="shared" ref="CO25:CO26" si="44">IFERROR(CN25/CN$11,0)</f>
        <v>0.15301593461230628</v>
      </c>
      <c r="CP25" s="5">
        <f>SUM(CP23:CP24)</f>
        <v>6817</v>
      </c>
      <c r="CQ25" s="4">
        <f t="shared" ref="CQ25:CQ26" si="45">IFERROR(CP25/CP$11,0)</f>
        <v>0.17213342423553771</v>
      </c>
      <c r="CR25" s="5">
        <f>SUM(CR23:CR24)</f>
        <v>5111</v>
      </c>
      <c r="CS25" s="4">
        <f t="shared" ref="CS25:CS26" si="46">IFERROR(CR25/CR$11,0)</f>
        <v>0.15525988031228166</v>
      </c>
      <c r="CT25" s="5">
        <f>SUM(CT23:CT24)</f>
        <v>5963</v>
      </c>
      <c r="CU25" s="4">
        <f t="shared" ref="CU25:CU26" si="47">IFERROR(CT25/CT$11,0)</f>
        <v>0.15603820489336648</v>
      </c>
      <c r="CV25" s="5">
        <f>SUM(CV23:CV24)</f>
        <v>5304</v>
      </c>
      <c r="CW25" s="4">
        <f t="shared" ref="CW25:CW26" si="48">IFERROR(CV25/CV$11,0)</f>
        <v>0.1359721082854799</v>
      </c>
      <c r="CX25" s="5">
        <f>SUM(CX23:CX24)</f>
        <v>6951</v>
      </c>
      <c r="CY25" s="4">
        <f t="shared" ref="CY25:CY26" si="49">IFERROR(CX25/CX$11,0)</f>
        <v>0.15417544637906178</v>
      </c>
      <c r="CZ25" s="5">
        <f>SUM(CZ23:CZ24)</f>
        <v>6329</v>
      </c>
      <c r="DA25" s="4">
        <f t="shared" ref="DA25:DA26" si="50">IFERROR(CZ25/CZ$11,0)</f>
        <v>0.13781765128584805</v>
      </c>
      <c r="DB25" s="5">
        <f>SUM(DB23:DB24)</f>
        <v>6054</v>
      </c>
      <c r="DC25" s="4">
        <f t="shared" ref="DC25:DC26" si="51">IFERROR(DB25/DB$11,0)</f>
        <v>0.12958047945205478</v>
      </c>
      <c r="DD25" s="5">
        <f>SUM(OSRRefD25x_0)</f>
        <v>332971</v>
      </c>
      <c r="DE25" s="4">
        <f t="shared" ref="DE25:DE26" si="52">IFERROR(DD25/DD$11,0)</f>
        <v>0.14889430758340486</v>
      </c>
    </row>
    <row r="26" spans="2:110" outlineLevel="1" x14ac:dyDescent="0.25">
      <c r="B26">
        <v>33000</v>
      </c>
      <c r="C26" t="s">
        <v>39</v>
      </c>
      <c r="D26" s="5">
        <f>IFERROR(-1544*-1,0)</f>
        <v>1544</v>
      </c>
      <c r="E26" s="4">
        <f t="shared" si="0"/>
        <v>4.0893079428980059E-2</v>
      </c>
      <c r="F26" s="5">
        <f>IFERROR(-1345*-1,0)</f>
        <v>1345</v>
      </c>
      <c r="G26" s="4">
        <f t="shared" si="1"/>
        <v>3.5537823341348057E-2</v>
      </c>
      <c r="H26" s="5">
        <f>IFERROR(-1242*-1,0)</f>
        <v>1242</v>
      </c>
      <c r="I26" s="4">
        <f t="shared" si="2"/>
        <v>3.8008385102671606E-2</v>
      </c>
      <c r="J26" s="5">
        <f>IFERROR(-1530*-1,0)</f>
        <v>1530</v>
      </c>
      <c r="K26" s="4">
        <f t="shared" si="3"/>
        <v>4.0059696803079095E-2</v>
      </c>
      <c r="L26" s="5">
        <f>IFERROR(-1354*-1,0)</f>
        <v>1354</v>
      </c>
      <c r="M26" s="4">
        <f t="shared" si="4"/>
        <v>3.3463496614107066E-2</v>
      </c>
      <c r="N26" s="5">
        <f>IFERROR(-1528*-1,0)</f>
        <v>1528</v>
      </c>
      <c r="O26" s="4">
        <f t="shared" si="5"/>
        <v>3.804970367050152E-2</v>
      </c>
      <c r="P26" s="5">
        <f>IFERROR(-1741*-1,0)</f>
        <v>1741</v>
      </c>
      <c r="Q26" s="4">
        <f t="shared" si="6"/>
        <v>3.1383506083821539E-2</v>
      </c>
      <c r="R26" s="5">
        <f>IFERROR(-1717*-1,0)</f>
        <v>1717</v>
      </c>
      <c r="S26" s="4">
        <f t="shared" si="7"/>
        <v>3.1249431249431251E-2</v>
      </c>
      <c r="T26" s="5">
        <f>IFERROR(-2133*-1,0)</f>
        <v>2133</v>
      </c>
      <c r="U26" s="4">
        <f t="shared" si="8"/>
        <v>3.945980945333457E-2</v>
      </c>
      <c r="V26" s="5">
        <f>IFERROR(-2085*-1,0)</f>
        <v>2085</v>
      </c>
      <c r="W26" s="4">
        <f t="shared" si="9"/>
        <v>3.7335482138060705E-2</v>
      </c>
      <c r="X26" s="5">
        <f>IFERROR(-2275*-1,0)</f>
        <v>2275</v>
      </c>
      <c r="Y26" s="4">
        <f t="shared" si="10"/>
        <v>4.2842077511204849E-2</v>
      </c>
      <c r="Z26" s="5">
        <f>IFERROR(-2113*-1,0)</f>
        <v>2113</v>
      </c>
      <c r="AA26" s="4">
        <f t="shared" si="11"/>
        <v>4.1800197823936694E-2</v>
      </c>
      <c r="AB26" s="5">
        <f>IFERROR(-1832*-1,0)</f>
        <v>1832</v>
      </c>
      <c r="AC26" s="4">
        <f t="shared" si="12"/>
        <v>3.4689085813830192E-2</v>
      </c>
      <c r="AD26" s="5">
        <f>IFERROR(-1719*-1,0)</f>
        <v>1719</v>
      </c>
      <c r="AE26" s="4">
        <f t="shared" si="13"/>
        <v>3.5793112064298506E-2</v>
      </c>
      <c r="AF26" s="5">
        <f>IFERROR(-2046*-1,0)</f>
        <v>2046</v>
      </c>
      <c r="AG26" s="4">
        <f t="shared" si="14"/>
        <v>4.1435457086151727E-2</v>
      </c>
      <c r="AH26" s="5">
        <f>IFERROR(-1370*-1,0)</f>
        <v>1370</v>
      </c>
      <c r="AI26" s="4">
        <f t="shared" si="15"/>
        <v>3.4085537282611399E-2</v>
      </c>
      <c r="AJ26" s="5">
        <f>IFERROR(-1610*-1,0)</f>
        <v>1610</v>
      </c>
      <c r="AK26" s="4">
        <f t="shared" si="16"/>
        <v>3.3443426601026151E-2</v>
      </c>
      <c r="AL26" s="5">
        <f>IFERROR(-1615*-1,0)</f>
        <v>1615</v>
      </c>
      <c r="AM26" s="4">
        <f t="shared" si="17"/>
        <v>3.5958408478614208E-2</v>
      </c>
      <c r="AN26" s="5">
        <f>IFERROR(-1626*-1,0)</f>
        <v>1626</v>
      </c>
      <c r="AO26" s="4">
        <f t="shared" si="18"/>
        <v>2.9712197350388304E-2</v>
      </c>
      <c r="AP26" s="5">
        <f>IFERROR(-2030*-1,0)</f>
        <v>2030</v>
      </c>
      <c r="AQ26" s="4">
        <f t="shared" si="19"/>
        <v>4.1239207719654648E-2</v>
      </c>
      <c r="AR26" s="5">
        <f>IFERROR(-1661*-1,0)</f>
        <v>1661</v>
      </c>
      <c r="AS26" s="4">
        <f t="shared" si="20"/>
        <v>3.2660204101696913E-2</v>
      </c>
      <c r="AT26" s="5">
        <f>IFERROR(-1664*-1,0)</f>
        <v>1664</v>
      </c>
      <c r="AU26" s="4">
        <f t="shared" si="21"/>
        <v>3.4538586076632488E-2</v>
      </c>
      <c r="AV26" s="5">
        <f>IFERROR(-1699*-1,0)</f>
        <v>1699</v>
      </c>
      <c r="AW26" s="4">
        <f t="shared" si="22"/>
        <v>4.1226856907136442E-2</v>
      </c>
      <c r="AX26" s="5">
        <f>IFERROR(-1859*-1,0)</f>
        <v>1859</v>
      </c>
      <c r="AY26" s="4">
        <f t="shared" si="23"/>
        <v>3.6123741790058686E-2</v>
      </c>
      <c r="AZ26" s="5">
        <f>IFERROR(-1567*-1,0)</f>
        <v>1567</v>
      </c>
      <c r="BA26" s="4">
        <f t="shared" si="24"/>
        <v>3.7672797211203271E-2</v>
      </c>
      <c r="BB26" s="5">
        <f>IFERROR(-1315*-1,0)</f>
        <v>1315</v>
      </c>
      <c r="BC26" s="4">
        <f t="shared" si="25"/>
        <v>3.0293257158653736E-2</v>
      </c>
      <c r="BD26" s="5">
        <f>IFERROR(-1378*-1,0)</f>
        <v>1378</v>
      </c>
      <c r="BE26" s="4">
        <f t="shared" si="26"/>
        <v>3.4530282907760543E-2</v>
      </c>
      <c r="BF26" s="5">
        <f>IFERROR(-1176*-1,0)</f>
        <v>1176</v>
      </c>
      <c r="BG26" s="4">
        <f t="shared" si="27"/>
        <v>3.0191779415162639E-2</v>
      </c>
      <c r="BH26" s="5">
        <f>IFERROR(-1203*-1,0)</f>
        <v>1203</v>
      </c>
      <c r="BI26" s="4">
        <f t="shared" si="28"/>
        <v>3.1899660585490028E-2</v>
      </c>
      <c r="BJ26" s="5">
        <f>IFERROR(-1349*-1,0)</f>
        <v>1349</v>
      </c>
      <c r="BK26" s="4">
        <f t="shared" si="29"/>
        <v>3.487139718237043E-2</v>
      </c>
      <c r="BL26" s="5">
        <f>IFERROR(-1245*-1,0)</f>
        <v>1245</v>
      </c>
      <c r="BM26" s="4">
        <f t="shared" si="30"/>
        <v>2.9113953651521175E-2</v>
      </c>
      <c r="BN26" s="5">
        <f>IFERROR(-1446*-1,0)</f>
        <v>1446</v>
      </c>
      <c r="BO26" s="4">
        <f t="shared" si="31"/>
        <v>3.6087748633607031E-2</v>
      </c>
      <c r="BP26" s="5">
        <f>IFERROR(-1742*-1,0)</f>
        <v>1742</v>
      </c>
      <c r="BQ26" s="4">
        <f t="shared" si="32"/>
        <v>4.91340892423986E-2</v>
      </c>
      <c r="BR26" s="5">
        <f>IFERROR(-1333*-1,0)</f>
        <v>1333</v>
      </c>
      <c r="BS26" s="4">
        <f t="shared" si="33"/>
        <v>4.0176014949214862E-2</v>
      </c>
      <c r="BT26" s="5">
        <f>IFERROR(-1570*-1,0)</f>
        <v>1570</v>
      </c>
      <c r="BU26" s="4">
        <f t="shared" si="34"/>
        <v>3.679831243407946E-2</v>
      </c>
      <c r="BV26" s="5">
        <f>IFERROR(-1311*-1,0)</f>
        <v>1311</v>
      </c>
      <c r="BW26" s="4">
        <f t="shared" si="35"/>
        <v>3.828855140186916E-2</v>
      </c>
      <c r="BX26" s="5">
        <f>IFERROR(-1646*-1,0)</f>
        <v>1646</v>
      </c>
      <c r="BY26" s="4">
        <f t="shared" si="36"/>
        <v>4.415472933097269E-2</v>
      </c>
      <c r="BZ26" s="5">
        <f>IFERROR(-1354*-1,0)</f>
        <v>1354</v>
      </c>
      <c r="CA26" s="4">
        <f t="shared" si="37"/>
        <v>4.123522962602022E-2</v>
      </c>
      <c r="CB26" s="5">
        <f>IFERROR(-1449*-1,0)</f>
        <v>1449</v>
      </c>
      <c r="CC26" s="4">
        <f t="shared" si="38"/>
        <v>3.8945331398161587E-2</v>
      </c>
      <c r="CD26" s="5">
        <f>IFERROR(-1473*-1,0)</f>
        <v>1473</v>
      </c>
      <c r="CE26" s="4">
        <f t="shared" si="39"/>
        <v>3.9437751004016065E-2</v>
      </c>
      <c r="CF26" s="5">
        <f>IFERROR(-1309*-1,0)</f>
        <v>1309</v>
      </c>
      <c r="CG26" s="4">
        <f t="shared" si="40"/>
        <v>3.4249084249084252E-2</v>
      </c>
      <c r="CH26" s="5">
        <f>IFERROR(-1521*-1,0)</f>
        <v>1521</v>
      </c>
      <c r="CI26" s="4">
        <f t="shared" si="41"/>
        <v>3.8848590110339191E-2</v>
      </c>
      <c r="CJ26" s="5">
        <f>IFERROR(-1444*-1,0)</f>
        <v>1444</v>
      </c>
      <c r="CK26" s="4">
        <f t="shared" si="42"/>
        <v>3.466986794717887E-2</v>
      </c>
      <c r="CL26" s="5">
        <f>IFERROR(-1469*-1,0)</f>
        <v>1469</v>
      </c>
      <c r="CM26" s="4">
        <f t="shared" si="43"/>
        <v>3.2587235741697911E-2</v>
      </c>
      <c r="CN26" s="5">
        <f>IFERROR(-1491*-1,0)</f>
        <v>1491</v>
      </c>
      <c r="CO26" s="4">
        <f t="shared" si="44"/>
        <v>3.6162111032960638E-2</v>
      </c>
      <c r="CP26" s="5">
        <f>IFERROR(-1554*-1,0)</f>
        <v>1554</v>
      </c>
      <c r="CQ26" s="4">
        <f t="shared" si="45"/>
        <v>3.923945155670025E-2</v>
      </c>
      <c r="CR26" s="5">
        <f>IFERROR(-1250*-1,0)</f>
        <v>1250</v>
      </c>
      <c r="CS26" s="4">
        <f t="shared" si="46"/>
        <v>3.7971991858804947E-2</v>
      </c>
      <c r="CT26" s="5">
        <f>IFERROR(-1778*-1,0)</f>
        <v>1778</v>
      </c>
      <c r="CU26" s="4">
        <f t="shared" si="47"/>
        <v>4.6526233154520473E-2</v>
      </c>
      <c r="CV26" s="5">
        <f>IFERROR(-1517*-1,0)</f>
        <v>1517</v>
      </c>
      <c r="CW26" s="4">
        <f t="shared" si="48"/>
        <v>3.888945857260049E-2</v>
      </c>
      <c r="CX26" s="5">
        <f>IFERROR(-2215*-1,0)</f>
        <v>2215</v>
      </c>
      <c r="CY26" s="4">
        <f t="shared" si="49"/>
        <v>4.9129422202506379E-2</v>
      </c>
      <c r="CZ26" s="5">
        <f>IFERROR(-1787*-1,0)</f>
        <v>1787</v>
      </c>
      <c r="DA26" s="4">
        <f t="shared" si="50"/>
        <v>3.8912963003288115E-2</v>
      </c>
      <c r="DB26" s="5">
        <f>IFERROR(-1399*-1,0)</f>
        <v>1399</v>
      </c>
      <c r="DC26" s="4">
        <f t="shared" si="51"/>
        <v>2.9944349315068494E-2</v>
      </c>
      <c r="DD26" s="5">
        <f>SUM(OSRRefD26_0x_0)</f>
        <v>82629</v>
      </c>
      <c r="DE26" s="4">
        <f t="shared" si="52"/>
        <v>3.694912692489484E-2</v>
      </c>
    </row>
    <row r="27" spans="2:110" ht="3.95" customHeight="1" x14ac:dyDescent="0.25">
      <c r="D27" s="5"/>
      <c r="E27" s="4"/>
      <c r="F27" s="5"/>
      <c r="G27" s="4"/>
      <c r="H27" s="5"/>
      <c r="I27" s="4"/>
      <c r="J27" s="5"/>
      <c r="K27" s="4"/>
      <c r="L27" s="5"/>
      <c r="M27" s="4"/>
      <c r="N27" s="5"/>
      <c r="O27" s="4"/>
      <c r="P27" s="5"/>
      <c r="Q27" s="4"/>
      <c r="R27" s="5"/>
      <c r="S27" s="4"/>
      <c r="T27" s="5"/>
      <c r="U27" s="4"/>
      <c r="V27" s="5"/>
      <c r="W27" s="4"/>
      <c r="X27" s="5"/>
      <c r="Y27" s="4"/>
      <c r="Z27" s="5"/>
      <c r="AA27" s="4"/>
      <c r="AB27" s="5"/>
      <c r="AC27" s="4"/>
      <c r="AD27" s="5"/>
      <c r="AE27" s="4"/>
      <c r="AF27" s="5"/>
      <c r="AG27" s="4"/>
      <c r="AH27" s="5"/>
      <c r="AI27" s="4"/>
      <c r="AJ27" s="5"/>
      <c r="AK27" s="4"/>
      <c r="AL27" s="5"/>
      <c r="AM27" s="4"/>
      <c r="AN27" s="5"/>
      <c r="AO27" s="4"/>
      <c r="AP27" s="5"/>
      <c r="AQ27" s="4"/>
      <c r="AR27" s="5"/>
      <c r="AS27" s="4"/>
      <c r="AT27" s="5"/>
      <c r="AU27" s="4"/>
      <c r="AV27" s="5"/>
      <c r="AW27" s="4"/>
      <c r="AX27" s="5"/>
      <c r="AY27" s="4"/>
      <c r="AZ27" s="5"/>
      <c r="BA27" s="4"/>
      <c r="BB27" s="5"/>
      <c r="BC27" s="4"/>
      <c r="BD27" s="5"/>
      <c r="BE27" s="4"/>
      <c r="BF27" s="5"/>
      <c r="BG27" s="4"/>
      <c r="BH27" s="5"/>
      <c r="BI27" s="4"/>
      <c r="BJ27" s="5"/>
      <c r="BK27" s="4"/>
      <c r="BL27" s="5"/>
      <c r="BM27" s="4"/>
      <c r="BN27" s="5"/>
      <c r="BO27" s="4"/>
      <c r="BP27" s="5"/>
      <c r="BQ27" s="4"/>
      <c r="BR27" s="5"/>
      <c r="BS27" s="4"/>
      <c r="BT27" s="5"/>
      <c r="BU27" s="4"/>
      <c r="BV27" s="5"/>
      <c r="BW27" s="4"/>
      <c r="BX27" s="5"/>
      <c r="BY27" s="4"/>
      <c r="BZ27" s="5"/>
      <c r="CA27" s="4"/>
      <c r="CB27" s="5"/>
      <c r="CC27" s="4"/>
      <c r="CD27" s="5"/>
      <c r="CE27" s="4"/>
      <c r="CF27" s="5"/>
      <c r="CG27" s="4"/>
      <c r="CH27" s="5"/>
      <c r="CI27" s="4"/>
      <c r="CJ27" s="5"/>
      <c r="CK27" s="4"/>
      <c r="CL27" s="5"/>
      <c r="CM27" s="4"/>
      <c r="CN27" s="5"/>
      <c r="CO27" s="4"/>
      <c r="CP27" s="5"/>
      <c r="CQ27" s="4"/>
      <c r="CR27" s="5"/>
      <c r="CS27" s="4"/>
      <c r="CT27" s="5"/>
      <c r="CU27" s="4"/>
      <c r="CV27" s="5"/>
      <c r="CW27" s="4"/>
      <c r="CX27" s="5"/>
      <c r="CY27" s="4"/>
      <c r="CZ27" s="5"/>
      <c r="DA27" s="4"/>
      <c r="DB27" s="5"/>
      <c r="DC27" s="4"/>
      <c r="DD27" s="5"/>
      <c r="DE27" s="4"/>
    </row>
    <row r="28" spans="2:110" x14ac:dyDescent="0.25">
      <c r="C28" s="35" t="s">
        <v>25</v>
      </c>
      <c r="D28" s="5">
        <f>SUM(D26:D27)</f>
        <v>1544</v>
      </c>
      <c r="E28" s="4">
        <f t="shared" ref="E28:E29" si="53">IFERROR(D28/D$11,0)</f>
        <v>4.0893079428980059E-2</v>
      </c>
      <c r="F28" s="5">
        <f>SUM(F26:F27)</f>
        <v>1345</v>
      </c>
      <c r="G28" s="4">
        <f t="shared" ref="G28:G29" si="54">IFERROR(F28/F$11,0)</f>
        <v>3.5537823341348057E-2</v>
      </c>
      <c r="H28" s="5">
        <f>SUM(H26:H27)</f>
        <v>1242</v>
      </c>
      <c r="I28" s="4">
        <f t="shared" ref="I28:I29" si="55">IFERROR(H28/H$11,0)</f>
        <v>3.8008385102671606E-2</v>
      </c>
      <c r="J28" s="5">
        <f>SUM(J26:J27)</f>
        <v>1530</v>
      </c>
      <c r="K28" s="4">
        <f t="shared" ref="K28:K29" si="56">IFERROR(J28/J$11,0)</f>
        <v>4.0059696803079095E-2</v>
      </c>
      <c r="L28" s="5">
        <f>SUM(L26:L27)</f>
        <v>1354</v>
      </c>
      <c r="M28" s="4">
        <f t="shared" ref="M28:M29" si="57">IFERROR(L28/L$11,0)</f>
        <v>3.3463496614107066E-2</v>
      </c>
      <c r="N28" s="5">
        <f>SUM(N26:N27)</f>
        <v>1528</v>
      </c>
      <c r="O28" s="4">
        <f t="shared" ref="O28:O29" si="58">IFERROR(N28/N$11,0)</f>
        <v>3.804970367050152E-2</v>
      </c>
      <c r="P28" s="5">
        <f>SUM(P26:P27)</f>
        <v>1741</v>
      </c>
      <c r="Q28" s="4">
        <f t="shared" ref="Q28:Q29" si="59">IFERROR(P28/P$11,0)</f>
        <v>3.1383506083821539E-2</v>
      </c>
      <c r="R28" s="5">
        <f>SUM(R26:R27)</f>
        <v>1717</v>
      </c>
      <c r="S28" s="4">
        <f t="shared" ref="S28:S29" si="60">IFERROR(R28/R$11,0)</f>
        <v>3.1249431249431251E-2</v>
      </c>
      <c r="T28" s="5">
        <f>SUM(T26:T27)</f>
        <v>2133</v>
      </c>
      <c r="U28" s="4">
        <f t="shared" ref="U28:U29" si="61">IFERROR(T28/T$11,0)</f>
        <v>3.945980945333457E-2</v>
      </c>
      <c r="V28" s="5">
        <f>SUM(V26:V27)</f>
        <v>2085</v>
      </c>
      <c r="W28" s="4">
        <f t="shared" ref="W28:W29" si="62">IFERROR(V28/V$11,0)</f>
        <v>3.7335482138060705E-2</v>
      </c>
      <c r="X28" s="5">
        <f>SUM(X26:X27)</f>
        <v>2275</v>
      </c>
      <c r="Y28" s="4">
        <f t="shared" ref="Y28:Y29" si="63">IFERROR(X28/X$11,0)</f>
        <v>4.2842077511204849E-2</v>
      </c>
      <c r="Z28" s="5">
        <f>SUM(Z26:Z27)</f>
        <v>2113</v>
      </c>
      <c r="AA28" s="4">
        <f t="shared" ref="AA28:AA29" si="64">IFERROR(Z28/Z$11,0)</f>
        <v>4.1800197823936694E-2</v>
      </c>
      <c r="AB28" s="5">
        <f>SUM(AB26:AB27)</f>
        <v>1832</v>
      </c>
      <c r="AC28" s="4">
        <f t="shared" ref="AC28:AC29" si="65">IFERROR(AB28/AB$11,0)</f>
        <v>3.4689085813830192E-2</v>
      </c>
      <c r="AD28" s="5">
        <f>SUM(AD26:AD27)</f>
        <v>1719</v>
      </c>
      <c r="AE28" s="4">
        <f t="shared" ref="AE28:AE29" si="66">IFERROR(AD28/AD$11,0)</f>
        <v>3.5793112064298506E-2</v>
      </c>
      <c r="AF28" s="5">
        <f>SUM(AF26:AF27)</f>
        <v>2046</v>
      </c>
      <c r="AG28" s="4">
        <f t="shared" ref="AG28:AG29" si="67">IFERROR(AF28/AF$11,0)</f>
        <v>4.1435457086151727E-2</v>
      </c>
      <c r="AH28" s="5">
        <f>SUM(AH26:AH27)</f>
        <v>1370</v>
      </c>
      <c r="AI28" s="4">
        <f t="shared" ref="AI28:AI29" si="68">IFERROR(AH28/AH$11,0)</f>
        <v>3.4085537282611399E-2</v>
      </c>
      <c r="AJ28" s="5">
        <f>SUM(AJ26:AJ27)</f>
        <v>1610</v>
      </c>
      <c r="AK28" s="4">
        <f t="shared" ref="AK28:AK29" si="69">IFERROR(AJ28/AJ$11,0)</f>
        <v>3.3443426601026151E-2</v>
      </c>
      <c r="AL28" s="5">
        <f>SUM(AL26:AL27)</f>
        <v>1615</v>
      </c>
      <c r="AM28" s="4">
        <f t="shared" ref="AM28:AM29" si="70">IFERROR(AL28/AL$11,0)</f>
        <v>3.5958408478614208E-2</v>
      </c>
      <c r="AN28" s="5">
        <f>SUM(AN26:AN27)</f>
        <v>1626</v>
      </c>
      <c r="AO28" s="4">
        <f t="shared" ref="AO28:AO29" si="71">IFERROR(AN28/AN$11,0)</f>
        <v>2.9712197350388304E-2</v>
      </c>
      <c r="AP28" s="5">
        <f>SUM(AP26:AP27)</f>
        <v>2030</v>
      </c>
      <c r="AQ28" s="4">
        <f t="shared" ref="AQ28:AQ29" si="72">IFERROR(AP28/AP$11,0)</f>
        <v>4.1239207719654648E-2</v>
      </c>
      <c r="AR28" s="5">
        <f>SUM(AR26:AR27)</f>
        <v>1661</v>
      </c>
      <c r="AS28" s="4">
        <f t="shared" ref="AS28:AS29" si="73">IFERROR(AR28/AR$11,0)</f>
        <v>3.2660204101696913E-2</v>
      </c>
      <c r="AT28" s="5">
        <f>SUM(AT26:AT27)</f>
        <v>1664</v>
      </c>
      <c r="AU28" s="4">
        <f t="shared" ref="AU28:AU29" si="74">IFERROR(AT28/AT$11,0)</f>
        <v>3.4538586076632488E-2</v>
      </c>
      <c r="AV28" s="5">
        <f>SUM(AV26:AV27)</f>
        <v>1699</v>
      </c>
      <c r="AW28" s="4">
        <f t="shared" ref="AW28:AW29" si="75">IFERROR(AV28/AV$11,0)</f>
        <v>4.1226856907136442E-2</v>
      </c>
      <c r="AX28" s="5">
        <f>SUM(AX26:AX27)</f>
        <v>1859</v>
      </c>
      <c r="AY28" s="4">
        <f t="shared" ref="AY28:AY29" si="76">IFERROR(AX28/AX$11,0)</f>
        <v>3.6123741790058686E-2</v>
      </c>
      <c r="AZ28" s="5">
        <f>SUM(AZ26:AZ27)</f>
        <v>1567</v>
      </c>
      <c r="BA28" s="4">
        <f t="shared" ref="BA28:BA29" si="77">IFERROR(AZ28/AZ$11,0)</f>
        <v>3.7672797211203271E-2</v>
      </c>
      <c r="BB28" s="5">
        <f>SUM(BB26:BB27)</f>
        <v>1315</v>
      </c>
      <c r="BC28" s="4">
        <f t="shared" ref="BC28:BC29" si="78">IFERROR(BB28/BB$11,0)</f>
        <v>3.0293257158653736E-2</v>
      </c>
      <c r="BD28" s="5">
        <f>SUM(BD26:BD27)</f>
        <v>1378</v>
      </c>
      <c r="BE28" s="4">
        <f t="shared" ref="BE28:BE29" si="79">IFERROR(BD28/BD$11,0)</f>
        <v>3.4530282907760543E-2</v>
      </c>
      <c r="BF28" s="5">
        <f>SUM(BF26:BF27)</f>
        <v>1176</v>
      </c>
      <c r="BG28" s="4">
        <f t="shared" ref="BG28:BG29" si="80">IFERROR(BF28/BF$11,0)</f>
        <v>3.0191779415162639E-2</v>
      </c>
      <c r="BH28" s="5">
        <f>SUM(BH26:BH27)</f>
        <v>1203</v>
      </c>
      <c r="BI28" s="4">
        <f t="shared" ref="BI28:BI29" si="81">IFERROR(BH28/BH$11,0)</f>
        <v>3.1899660585490028E-2</v>
      </c>
      <c r="BJ28" s="5">
        <f>SUM(BJ26:BJ27)</f>
        <v>1349</v>
      </c>
      <c r="BK28" s="4">
        <f t="shared" ref="BK28:BK29" si="82">IFERROR(BJ28/BJ$11,0)</f>
        <v>3.487139718237043E-2</v>
      </c>
      <c r="BL28" s="5">
        <f>SUM(BL26:BL27)</f>
        <v>1245</v>
      </c>
      <c r="BM28" s="4">
        <f t="shared" ref="BM28:BM29" si="83">IFERROR(BL28/BL$11,0)</f>
        <v>2.9113953651521175E-2</v>
      </c>
      <c r="BN28" s="5">
        <f>SUM(BN26:BN27)</f>
        <v>1446</v>
      </c>
      <c r="BO28" s="4">
        <f t="shared" ref="BO28:BO29" si="84">IFERROR(BN28/BN$11,0)</f>
        <v>3.6087748633607031E-2</v>
      </c>
      <c r="BP28" s="5">
        <f>SUM(BP26:BP27)</f>
        <v>1742</v>
      </c>
      <c r="BQ28" s="4">
        <f t="shared" ref="BQ28:BQ29" si="85">IFERROR(BP28/BP$11,0)</f>
        <v>4.91340892423986E-2</v>
      </c>
      <c r="BR28" s="5">
        <f>SUM(BR26:BR27)</f>
        <v>1333</v>
      </c>
      <c r="BS28" s="4">
        <f t="shared" ref="BS28:BS29" si="86">IFERROR(BR28/BR$11,0)</f>
        <v>4.0176014949214862E-2</v>
      </c>
      <c r="BT28" s="5">
        <f>SUM(BT26:BT27)</f>
        <v>1570</v>
      </c>
      <c r="BU28" s="4">
        <f t="shared" ref="BU28:BU29" si="87">IFERROR(BT28/BT$11,0)</f>
        <v>3.679831243407946E-2</v>
      </c>
      <c r="BV28" s="5">
        <f>SUM(BV26:BV27)</f>
        <v>1311</v>
      </c>
      <c r="BW28" s="4">
        <f t="shared" ref="BW28:BW29" si="88">IFERROR(BV28/BV$11,0)</f>
        <v>3.828855140186916E-2</v>
      </c>
      <c r="BX28" s="5">
        <f>SUM(BX26:BX27)</f>
        <v>1646</v>
      </c>
      <c r="BY28" s="4">
        <f t="shared" ref="BY28:BY29" si="89">IFERROR(BX28/BX$11,0)</f>
        <v>4.415472933097269E-2</v>
      </c>
      <c r="BZ28" s="5">
        <f>SUM(BZ26:BZ27)</f>
        <v>1354</v>
      </c>
      <c r="CA28" s="4">
        <f t="shared" ref="CA28:CA29" si="90">IFERROR(BZ28/BZ$11,0)</f>
        <v>4.123522962602022E-2</v>
      </c>
      <c r="CB28" s="5">
        <f>SUM(CB26:CB27)</f>
        <v>1449</v>
      </c>
      <c r="CC28" s="4">
        <f t="shared" ref="CC28:CC29" si="91">IFERROR(CB28/CB$11,0)</f>
        <v>3.8945331398161587E-2</v>
      </c>
      <c r="CD28" s="5">
        <f>SUM(CD26:CD27)</f>
        <v>1473</v>
      </c>
      <c r="CE28" s="4">
        <f t="shared" ref="CE28:CE29" si="92">IFERROR(CD28/CD$11,0)</f>
        <v>3.9437751004016065E-2</v>
      </c>
      <c r="CF28" s="5">
        <f>SUM(CF26:CF27)</f>
        <v>1309</v>
      </c>
      <c r="CG28" s="4">
        <f t="shared" ref="CG28:CG29" si="93">IFERROR(CF28/CF$11,0)</f>
        <v>3.4249084249084252E-2</v>
      </c>
      <c r="CH28" s="5">
        <f>SUM(CH26:CH27)</f>
        <v>1521</v>
      </c>
      <c r="CI28" s="4">
        <f t="shared" ref="CI28:CI29" si="94">IFERROR(CH28/CH$11,0)</f>
        <v>3.8848590110339191E-2</v>
      </c>
      <c r="CJ28" s="5">
        <f>SUM(CJ26:CJ27)</f>
        <v>1444</v>
      </c>
      <c r="CK28" s="4">
        <f t="shared" ref="CK28:CK29" si="95">IFERROR(CJ28/CJ$11,0)</f>
        <v>3.466986794717887E-2</v>
      </c>
      <c r="CL28" s="5">
        <f>SUM(CL26:CL27)</f>
        <v>1469</v>
      </c>
      <c r="CM28" s="4">
        <f t="shared" ref="CM28:CM29" si="96">IFERROR(CL28/CL$11,0)</f>
        <v>3.2587235741697911E-2</v>
      </c>
      <c r="CN28" s="5">
        <f>SUM(CN26:CN27)</f>
        <v>1491</v>
      </c>
      <c r="CO28" s="4">
        <f t="shared" ref="CO28:CO29" si="97">IFERROR(CN28/CN$11,0)</f>
        <v>3.6162111032960638E-2</v>
      </c>
      <c r="CP28" s="5">
        <f>SUM(CP26:CP27)</f>
        <v>1554</v>
      </c>
      <c r="CQ28" s="4">
        <f t="shared" ref="CQ28:CQ29" si="98">IFERROR(CP28/CP$11,0)</f>
        <v>3.923945155670025E-2</v>
      </c>
      <c r="CR28" s="5">
        <f>SUM(CR26:CR27)</f>
        <v>1250</v>
      </c>
      <c r="CS28" s="4">
        <f t="shared" ref="CS28:CS29" si="99">IFERROR(CR28/CR$11,0)</f>
        <v>3.7971991858804947E-2</v>
      </c>
      <c r="CT28" s="5">
        <f>SUM(CT26:CT27)</f>
        <v>1778</v>
      </c>
      <c r="CU28" s="4">
        <f t="shared" ref="CU28:CU29" si="100">IFERROR(CT28/CT$11,0)</f>
        <v>4.6526233154520473E-2</v>
      </c>
      <c r="CV28" s="5">
        <f>SUM(CV26:CV27)</f>
        <v>1517</v>
      </c>
      <c r="CW28" s="4">
        <f t="shared" ref="CW28:CW29" si="101">IFERROR(CV28/CV$11,0)</f>
        <v>3.888945857260049E-2</v>
      </c>
      <c r="CX28" s="5">
        <f>SUM(CX26:CX27)</f>
        <v>2215</v>
      </c>
      <c r="CY28" s="4">
        <f t="shared" ref="CY28:CY29" si="102">IFERROR(CX28/CX$11,0)</f>
        <v>4.9129422202506379E-2</v>
      </c>
      <c r="CZ28" s="5">
        <f>SUM(CZ26:CZ27)</f>
        <v>1787</v>
      </c>
      <c r="DA28" s="4">
        <f t="shared" ref="DA28:DA29" si="103">IFERROR(CZ28/CZ$11,0)</f>
        <v>3.8912963003288115E-2</v>
      </c>
      <c r="DB28" s="5">
        <f>SUM(DB26:DB27)</f>
        <v>1399</v>
      </c>
      <c r="DC28" s="4">
        <f t="shared" ref="DC28:DC29" si="104">IFERROR(DB28/DB$11,0)</f>
        <v>2.9944349315068494E-2</v>
      </c>
      <c r="DD28" s="5">
        <f>SUM(OSRRefD28x_0)</f>
        <v>82629</v>
      </c>
      <c r="DE28" s="4">
        <f t="shared" ref="DE28:DE29" si="105">IFERROR(DD28/DD$11,0)</f>
        <v>3.694912692489484E-2</v>
      </c>
    </row>
    <row r="29" spans="2:110" outlineLevel="1" x14ac:dyDescent="0.25">
      <c r="B29">
        <v>34000</v>
      </c>
      <c r="C29" t="s">
        <v>40</v>
      </c>
      <c r="D29" s="5">
        <f>IFERROR(-281*-1,0)</f>
        <v>281</v>
      </c>
      <c r="E29" s="4">
        <f t="shared" si="53"/>
        <v>7.4423285748338053E-3</v>
      </c>
      <c r="F29" s="5">
        <f>IFERROR(-398*-1,0)</f>
        <v>398</v>
      </c>
      <c r="G29" s="4">
        <f t="shared" si="54"/>
        <v>1.0516025048220466E-2</v>
      </c>
      <c r="H29" s="5">
        <f>IFERROR(-430*-1,0)</f>
        <v>430</v>
      </c>
      <c r="I29" s="4">
        <f t="shared" si="55"/>
        <v>1.3159102732809009E-2</v>
      </c>
      <c r="J29" s="5">
        <f>IFERROR(-556*-1,0)</f>
        <v>556</v>
      </c>
      <c r="K29" s="4">
        <f t="shared" si="56"/>
        <v>1.4557641452622208E-2</v>
      </c>
      <c r="L29" s="5">
        <f>IFERROR(-330*-1,0)</f>
        <v>330</v>
      </c>
      <c r="M29" s="4">
        <f t="shared" si="57"/>
        <v>8.1558005041767589E-3</v>
      </c>
      <c r="N29" s="5">
        <f>IFERROR(-385*-1,0)</f>
        <v>385</v>
      </c>
      <c r="O29" s="4">
        <f t="shared" si="58"/>
        <v>9.5871308332088259E-3</v>
      </c>
      <c r="P29" s="5">
        <f>IFERROR(-697*-1,0)</f>
        <v>697</v>
      </c>
      <c r="Q29" s="4">
        <f t="shared" si="59"/>
        <v>1.2564218116268589E-2</v>
      </c>
      <c r="R29" s="5">
        <f>IFERROR(-504*-1,0)</f>
        <v>504</v>
      </c>
      <c r="S29" s="4">
        <f t="shared" si="60"/>
        <v>9.172809172809172E-3</v>
      </c>
      <c r="T29" s="5">
        <f>IFERROR(-571*-1,0)</f>
        <v>571</v>
      </c>
      <c r="U29" s="4">
        <f t="shared" si="61"/>
        <v>1.0563315141985016E-2</v>
      </c>
      <c r="V29" s="5">
        <f>IFERROR(-535*-1,0)</f>
        <v>535</v>
      </c>
      <c r="W29" s="4">
        <f t="shared" si="62"/>
        <v>9.5800877428597001E-3</v>
      </c>
      <c r="X29" s="5">
        <f>IFERROR(-549*-1,0)</f>
        <v>549</v>
      </c>
      <c r="Y29" s="4">
        <f t="shared" si="63"/>
        <v>1.0338593649956688E-2</v>
      </c>
      <c r="Z29" s="5">
        <f>IFERROR(-565*-1,0)</f>
        <v>565</v>
      </c>
      <c r="AA29" s="4">
        <f t="shared" si="64"/>
        <v>1.1177052423343225E-2</v>
      </c>
      <c r="AB29" s="5">
        <f>IFERROR(-723*-1,0)</f>
        <v>723</v>
      </c>
      <c r="AC29" s="4">
        <f t="shared" si="65"/>
        <v>1.3690070438536697E-2</v>
      </c>
      <c r="AD29" s="5">
        <f>IFERROR(-655*-1,0)</f>
        <v>655</v>
      </c>
      <c r="AE29" s="4">
        <f t="shared" si="66"/>
        <v>1.3638445841835673E-2</v>
      </c>
      <c r="AF29" s="5">
        <f>IFERROR(-452*-1,0)</f>
        <v>452</v>
      </c>
      <c r="AG29" s="4">
        <f t="shared" si="67"/>
        <v>9.1538741949856207E-3</v>
      </c>
      <c r="AH29" s="5">
        <f>IFERROR(-578*-1,0)</f>
        <v>578</v>
      </c>
      <c r="AI29" s="4">
        <f t="shared" si="68"/>
        <v>1.4380613539671088E-2</v>
      </c>
      <c r="AJ29" s="5">
        <f>IFERROR(-572*-1,0)</f>
        <v>572</v>
      </c>
      <c r="AK29" s="4">
        <f t="shared" si="69"/>
        <v>1.1881763984960844E-2</v>
      </c>
      <c r="AL29" s="5">
        <f>IFERROR(-540*-1,0)</f>
        <v>540</v>
      </c>
      <c r="AM29" s="4">
        <f t="shared" si="70"/>
        <v>1.2023244940217755E-2</v>
      </c>
      <c r="AN29" s="5">
        <f>IFERROR(-872*-1,0)</f>
        <v>872</v>
      </c>
      <c r="AO29" s="4">
        <f t="shared" si="71"/>
        <v>1.5934216537231611E-2</v>
      </c>
      <c r="AP29" s="5">
        <f>IFERROR(-743*-1,0)</f>
        <v>743</v>
      </c>
      <c r="AQ29" s="4">
        <f t="shared" si="72"/>
        <v>1.5093956323006603E-2</v>
      </c>
      <c r="AR29" s="5">
        <f>IFERROR(-536*-1,0)</f>
        <v>536</v>
      </c>
      <c r="AS29" s="4">
        <f t="shared" si="73"/>
        <v>1.0539355447627663E-2</v>
      </c>
      <c r="AT29" s="5">
        <f>IFERROR(-539*-1,0)</f>
        <v>539</v>
      </c>
      <c r="AU29" s="4">
        <f t="shared" si="74"/>
        <v>1.118767902362074E-2</v>
      </c>
      <c r="AV29" s="5">
        <f>IFERROR(-749*-1,0)</f>
        <v>749</v>
      </c>
      <c r="AW29" s="4">
        <f t="shared" si="75"/>
        <v>1.8174759166242022E-2</v>
      </c>
      <c r="AX29" s="5">
        <f>IFERROR(-732*-1,0)</f>
        <v>732</v>
      </c>
      <c r="AY29" s="4">
        <f t="shared" si="76"/>
        <v>1.422408767634371E-2</v>
      </c>
      <c r="AZ29" s="5">
        <f>IFERROR(-384*-1,0)</f>
        <v>384</v>
      </c>
      <c r="BA29" s="4">
        <f t="shared" si="77"/>
        <v>9.2318788315903354E-3</v>
      </c>
      <c r="BB29" s="5">
        <f>IFERROR(-308*-1,0)</f>
        <v>308</v>
      </c>
      <c r="BC29" s="4">
        <f t="shared" si="78"/>
        <v>7.0953028173880994E-3</v>
      </c>
      <c r="BD29" s="5">
        <f>IFERROR(-415*-1,0)</f>
        <v>415</v>
      </c>
      <c r="BE29" s="4">
        <f t="shared" si="79"/>
        <v>1.0399178089057057E-2</v>
      </c>
      <c r="BF29" s="5">
        <f>IFERROR(-394*-1,0)</f>
        <v>394</v>
      </c>
      <c r="BG29" s="4">
        <f t="shared" si="80"/>
        <v>1.0115273035352109E-2</v>
      </c>
      <c r="BH29" s="5">
        <f>IFERROR(-265*-1,0)</f>
        <v>265</v>
      </c>
      <c r="BI29" s="4">
        <f t="shared" si="81"/>
        <v>7.0269410267288926E-3</v>
      </c>
      <c r="BJ29" s="5">
        <f>IFERROR(-468*-1,0)</f>
        <v>468</v>
      </c>
      <c r="BK29" s="4">
        <f t="shared" si="82"/>
        <v>1.2097712291585886E-2</v>
      </c>
      <c r="BL29" s="5">
        <f>IFERROR(-360*-1,0)</f>
        <v>360</v>
      </c>
      <c r="BM29" s="4">
        <f t="shared" si="83"/>
        <v>8.4184926221266051E-3</v>
      </c>
      <c r="BN29" s="5">
        <f>IFERROR(-268*-1,0)</f>
        <v>268</v>
      </c>
      <c r="BO29" s="4">
        <f t="shared" si="84"/>
        <v>6.6884624023559359E-3</v>
      </c>
      <c r="BP29" s="5">
        <f>IFERROR(-469*-1,0)</f>
        <v>469</v>
      </c>
      <c r="BQ29" s="4">
        <f t="shared" si="85"/>
        <v>1.3228408642184239E-2</v>
      </c>
      <c r="BR29" s="5">
        <f>IFERROR(-382*-1,0)</f>
        <v>382</v>
      </c>
      <c r="BS29" s="4">
        <f t="shared" si="86"/>
        <v>1.151330660960246E-2</v>
      </c>
      <c r="BT29" s="5">
        <f>IFERROR(-310*-1,0)</f>
        <v>310</v>
      </c>
      <c r="BU29" s="4">
        <f t="shared" si="87"/>
        <v>7.2659088245634598E-3</v>
      </c>
      <c r="BV29" s="5">
        <f>IFERROR(-227*-1,0)</f>
        <v>227</v>
      </c>
      <c r="BW29" s="4">
        <f t="shared" si="88"/>
        <v>6.6296728971962614E-3</v>
      </c>
      <c r="BX29" s="5">
        <f>IFERROR(-230*-1,0)</f>
        <v>230</v>
      </c>
      <c r="BY29" s="4">
        <f t="shared" si="89"/>
        <v>6.1698588980095498E-3</v>
      </c>
      <c r="BZ29" s="5">
        <f>IFERROR(-233*-1,0)</f>
        <v>233</v>
      </c>
      <c r="CA29" s="4">
        <f t="shared" si="90"/>
        <v>7.0958703861615296E-3</v>
      </c>
      <c r="CB29" s="5">
        <f>IFERROR(-387*-1,0)</f>
        <v>387</v>
      </c>
      <c r="CC29" s="4">
        <f t="shared" si="91"/>
        <v>1.0401548137397194E-2</v>
      </c>
      <c r="CD29" s="5">
        <f>IFERROR(-508*-1,0)</f>
        <v>508</v>
      </c>
      <c r="CE29" s="4">
        <f t="shared" si="92"/>
        <v>1.3601070950468541E-2</v>
      </c>
      <c r="CF29" s="5">
        <f>IFERROR(-311*-1,0)</f>
        <v>311</v>
      </c>
      <c r="CG29" s="4">
        <f t="shared" si="93"/>
        <v>8.1371009942438517E-3</v>
      </c>
      <c r="CH29" s="5">
        <f>IFERROR(-370*-1,0)</f>
        <v>370</v>
      </c>
      <c r="CI29" s="4">
        <f t="shared" si="94"/>
        <v>9.4503473641193297E-3</v>
      </c>
      <c r="CJ29" s="5">
        <f>IFERROR(-568*-1,0)</f>
        <v>568</v>
      </c>
      <c r="CK29" s="4">
        <f t="shared" si="95"/>
        <v>1.3637454981992796E-2</v>
      </c>
      <c r="CL29" s="5">
        <f>IFERROR(-603*-1,0)</f>
        <v>603</v>
      </c>
      <c r="CM29" s="4">
        <f t="shared" si="96"/>
        <v>1.3376516781649993E-2</v>
      </c>
      <c r="CN29" s="5">
        <f>IFERROR(-428*-1,0)</f>
        <v>428</v>
      </c>
      <c r="CO29" s="4">
        <f t="shared" si="97"/>
        <v>1.0380538914894133E-2</v>
      </c>
      <c r="CP29" s="5">
        <f>IFERROR(-537*-1,0)</f>
        <v>537</v>
      </c>
      <c r="CQ29" s="4">
        <f t="shared" si="98"/>
        <v>1.355957881978638E-2</v>
      </c>
      <c r="CR29" s="5">
        <f>IFERROR(-379*-1,0)</f>
        <v>379</v>
      </c>
      <c r="CS29" s="4">
        <f t="shared" si="99"/>
        <v>1.1513107931589659E-2</v>
      </c>
      <c r="CT29" s="5">
        <f>IFERROR(-440*-1,0)</f>
        <v>440</v>
      </c>
      <c r="CU29" s="4">
        <f t="shared" si="100"/>
        <v>1.151380348030878E-2</v>
      </c>
      <c r="CV29" s="5">
        <f>IFERROR(-689*-1,0)</f>
        <v>689</v>
      </c>
      <c r="CW29" s="4">
        <f t="shared" si="101"/>
        <v>1.7663043478260868E-2</v>
      </c>
      <c r="CX29" s="5">
        <f>IFERROR(-423*-1,0)</f>
        <v>423</v>
      </c>
      <c r="CY29" s="4">
        <f t="shared" si="102"/>
        <v>9.3822779194854163E-3</v>
      </c>
      <c r="CZ29" s="5">
        <f>IFERROR(-559*-1,0)</f>
        <v>559</v>
      </c>
      <c r="DA29" s="4">
        <f t="shared" si="103"/>
        <v>1.2172549702763321E-2</v>
      </c>
      <c r="DB29" s="5">
        <f>IFERROR(-602*-1,0)</f>
        <v>602</v>
      </c>
      <c r="DC29" s="4">
        <f t="shared" si="104"/>
        <v>1.2885273972602741E-2</v>
      </c>
      <c r="DD29" s="5">
        <f>SUM(OSRRefD29_0x_0)</f>
        <v>25009</v>
      </c>
      <c r="DE29" s="4">
        <f t="shared" si="105"/>
        <v>1.1183249407165705E-2</v>
      </c>
    </row>
    <row r="30" spans="2:110" ht="3.95" customHeight="1" x14ac:dyDescent="0.25">
      <c r="D30" s="5"/>
      <c r="E30" s="4"/>
      <c r="F30" s="5"/>
      <c r="G30" s="4"/>
      <c r="H30" s="5"/>
      <c r="I30" s="4"/>
      <c r="J30" s="5"/>
      <c r="K30" s="4"/>
      <c r="L30" s="5"/>
      <c r="M30" s="4"/>
      <c r="N30" s="5"/>
      <c r="O30" s="4"/>
      <c r="P30" s="5"/>
      <c r="Q30" s="4"/>
      <c r="R30" s="5"/>
      <c r="S30" s="4"/>
      <c r="T30" s="5"/>
      <c r="U30" s="4"/>
      <c r="V30" s="5"/>
      <c r="W30" s="4"/>
      <c r="X30" s="5"/>
      <c r="Y30" s="4"/>
      <c r="Z30" s="5"/>
      <c r="AA30" s="4"/>
      <c r="AB30" s="5"/>
      <c r="AC30" s="4"/>
      <c r="AD30" s="5"/>
      <c r="AE30" s="4"/>
      <c r="AF30" s="5"/>
      <c r="AG30" s="4"/>
      <c r="AH30" s="5"/>
      <c r="AI30" s="4"/>
      <c r="AJ30" s="5"/>
      <c r="AK30" s="4"/>
      <c r="AL30" s="5"/>
      <c r="AM30" s="4"/>
      <c r="AN30" s="5"/>
      <c r="AO30" s="4"/>
      <c r="AP30" s="5"/>
      <c r="AQ30" s="4"/>
      <c r="AR30" s="5"/>
      <c r="AS30" s="4"/>
      <c r="AT30" s="5"/>
      <c r="AU30" s="4"/>
      <c r="AV30" s="5"/>
      <c r="AW30" s="4"/>
      <c r="AX30" s="5"/>
      <c r="AY30" s="4"/>
      <c r="AZ30" s="5"/>
      <c r="BA30" s="4"/>
      <c r="BB30" s="5"/>
      <c r="BC30" s="4"/>
      <c r="BD30" s="5"/>
      <c r="BE30" s="4"/>
      <c r="BF30" s="5"/>
      <c r="BG30" s="4"/>
      <c r="BH30" s="5"/>
      <c r="BI30" s="4"/>
      <c r="BJ30" s="5"/>
      <c r="BK30" s="4"/>
      <c r="BL30" s="5"/>
      <c r="BM30" s="4"/>
      <c r="BN30" s="5"/>
      <c r="BO30" s="4"/>
      <c r="BP30" s="5"/>
      <c r="BQ30" s="4"/>
      <c r="BR30" s="5"/>
      <c r="BS30" s="4"/>
      <c r="BT30" s="5"/>
      <c r="BU30" s="4"/>
      <c r="BV30" s="5"/>
      <c r="BW30" s="4"/>
      <c r="BX30" s="5"/>
      <c r="BY30" s="4"/>
      <c r="BZ30" s="5"/>
      <c r="CA30" s="4"/>
      <c r="CB30" s="5"/>
      <c r="CC30" s="4"/>
      <c r="CD30" s="5"/>
      <c r="CE30" s="4"/>
      <c r="CF30" s="5"/>
      <c r="CG30" s="4"/>
      <c r="CH30" s="5"/>
      <c r="CI30" s="4"/>
      <c r="CJ30" s="5"/>
      <c r="CK30" s="4"/>
      <c r="CL30" s="5"/>
      <c r="CM30" s="4"/>
      <c r="CN30" s="5"/>
      <c r="CO30" s="4"/>
      <c r="CP30" s="5"/>
      <c r="CQ30" s="4"/>
      <c r="CR30" s="5"/>
      <c r="CS30" s="4"/>
      <c r="CT30" s="5"/>
      <c r="CU30" s="4"/>
      <c r="CV30" s="5"/>
      <c r="CW30" s="4"/>
      <c r="CX30" s="5"/>
      <c r="CY30" s="4"/>
      <c r="CZ30" s="5"/>
      <c r="DA30" s="4"/>
      <c r="DB30" s="5"/>
      <c r="DC30" s="4"/>
      <c r="DD30" s="5"/>
      <c r="DE30" s="4"/>
    </row>
    <row r="31" spans="2:110" x14ac:dyDescent="0.25">
      <c r="C31" s="35" t="s">
        <v>26</v>
      </c>
      <c r="D31" s="5">
        <f>SUM(D29:D30)</f>
        <v>281</v>
      </c>
      <c r="E31" s="4">
        <f>IFERROR(D31/D$11,0)</f>
        <v>7.4423285748338053E-3</v>
      </c>
      <c r="F31" s="5">
        <f>SUM(F29:F30)</f>
        <v>398</v>
      </c>
      <c r="G31" s="4">
        <f>IFERROR(F31/F$11,0)</f>
        <v>1.0516025048220466E-2</v>
      </c>
      <c r="H31" s="5">
        <f>SUM(H29:H30)</f>
        <v>430</v>
      </c>
      <c r="I31" s="4">
        <f>IFERROR(H31/H$11,0)</f>
        <v>1.3159102732809009E-2</v>
      </c>
      <c r="J31" s="5">
        <f>SUM(J29:J30)</f>
        <v>556</v>
      </c>
      <c r="K31" s="4">
        <f>IFERROR(J31/J$11,0)</f>
        <v>1.4557641452622208E-2</v>
      </c>
      <c r="L31" s="5">
        <f>SUM(L29:L30)</f>
        <v>330</v>
      </c>
      <c r="M31" s="4">
        <f>IFERROR(L31/L$11,0)</f>
        <v>8.1558005041767589E-3</v>
      </c>
      <c r="N31" s="5">
        <f>SUM(N29:N30)</f>
        <v>385</v>
      </c>
      <c r="O31" s="4">
        <f>IFERROR(N31/N$11,0)</f>
        <v>9.5871308332088259E-3</v>
      </c>
      <c r="P31" s="5">
        <f>SUM(P29:P30)</f>
        <v>697</v>
      </c>
      <c r="Q31" s="4">
        <f>IFERROR(P31/P$11,0)</f>
        <v>1.2564218116268589E-2</v>
      </c>
      <c r="R31" s="5">
        <f>SUM(R29:R30)</f>
        <v>504</v>
      </c>
      <c r="S31" s="4">
        <f>IFERROR(R31/R$11,0)</f>
        <v>9.172809172809172E-3</v>
      </c>
      <c r="T31" s="5">
        <f>SUM(T29:T30)</f>
        <v>571</v>
      </c>
      <c r="U31" s="4">
        <f>IFERROR(T31/T$11,0)</f>
        <v>1.0563315141985016E-2</v>
      </c>
      <c r="V31" s="5">
        <f>SUM(V29:V30)</f>
        <v>535</v>
      </c>
      <c r="W31" s="4">
        <f>IFERROR(V31/V$11,0)</f>
        <v>9.5800877428597001E-3</v>
      </c>
      <c r="X31" s="5">
        <f>SUM(X29:X30)</f>
        <v>549</v>
      </c>
      <c r="Y31" s="4">
        <f>IFERROR(X31/X$11,0)</f>
        <v>1.0338593649956688E-2</v>
      </c>
      <c r="Z31" s="5">
        <f>SUM(Z29:Z30)</f>
        <v>565</v>
      </c>
      <c r="AA31" s="4">
        <f>IFERROR(Z31/Z$11,0)</f>
        <v>1.1177052423343225E-2</v>
      </c>
      <c r="AB31" s="5">
        <f>SUM(AB29:AB30)</f>
        <v>723</v>
      </c>
      <c r="AC31" s="4">
        <f>IFERROR(AB31/AB$11,0)</f>
        <v>1.3690070438536697E-2</v>
      </c>
      <c r="AD31" s="5">
        <f>SUM(AD29:AD30)</f>
        <v>655</v>
      </c>
      <c r="AE31" s="4">
        <f>IFERROR(AD31/AD$11,0)</f>
        <v>1.3638445841835673E-2</v>
      </c>
      <c r="AF31" s="5">
        <f>SUM(AF29:AF30)</f>
        <v>452</v>
      </c>
      <c r="AG31" s="4">
        <f>IFERROR(AF31/AF$11,0)</f>
        <v>9.1538741949856207E-3</v>
      </c>
      <c r="AH31" s="5">
        <f>SUM(AH29:AH30)</f>
        <v>578</v>
      </c>
      <c r="AI31" s="4">
        <f>IFERROR(AH31/AH$11,0)</f>
        <v>1.4380613539671088E-2</v>
      </c>
      <c r="AJ31" s="5">
        <f>SUM(AJ29:AJ30)</f>
        <v>572</v>
      </c>
      <c r="AK31" s="4">
        <f>IFERROR(AJ31/AJ$11,0)</f>
        <v>1.1881763984960844E-2</v>
      </c>
      <c r="AL31" s="5">
        <f>SUM(AL29:AL30)</f>
        <v>540</v>
      </c>
      <c r="AM31" s="4">
        <f>IFERROR(AL31/AL$11,0)</f>
        <v>1.2023244940217755E-2</v>
      </c>
      <c r="AN31" s="5">
        <f>SUM(AN29:AN30)</f>
        <v>872</v>
      </c>
      <c r="AO31" s="4">
        <f>IFERROR(AN31/AN$11,0)</f>
        <v>1.5934216537231611E-2</v>
      </c>
      <c r="AP31" s="5">
        <f>SUM(AP29:AP30)</f>
        <v>743</v>
      </c>
      <c r="AQ31" s="4">
        <f>IFERROR(AP31/AP$11,0)</f>
        <v>1.5093956323006603E-2</v>
      </c>
      <c r="AR31" s="5">
        <f>SUM(AR29:AR30)</f>
        <v>536</v>
      </c>
      <c r="AS31" s="4">
        <f>IFERROR(AR31/AR$11,0)</f>
        <v>1.0539355447627663E-2</v>
      </c>
      <c r="AT31" s="5">
        <f>SUM(AT29:AT30)</f>
        <v>539</v>
      </c>
      <c r="AU31" s="4">
        <f>IFERROR(AT31/AT$11,0)</f>
        <v>1.118767902362074E-2</v>
      </c>
      <c r="AV31" s="5">
        <f>SUM(AV29:AV30)</f>
        <v>749</v>
      </c>
      <c r="AW31" s="4">
        <f>IFERROR(AV31/AV$11,0)</f>
        <v>1.8174759166242022E-2</v>
      </c>
      <c r="AX31" s="5">
        <f>SUM(AX29:AX30)</f>
        <v>732</v>
      </c>
      <c r="AY31" s="4">
        <f>IFERROR(AX31/AX$11,0)</f>
        <v>1.422408767634371E-2</v>
      </c>
      <c r="AZ31" s="5">
        <f>SUM(AZ29:AZ30)</f>
        <v>384</v>
      </c>
      <c r="BA31" s="4">
        <f>IFERROR(AZ31/AZ$11,0)</f>
        <v>9.2318788315903354E-3</v>
      </c>
      <c r="BB31" s="5">
        <f>SUM(BB29:BB30)</f>
        <v>308</v>
      </c>
      <c r="BC31" s="4">
        <f>IFERROR(BB31/BB$11,0)</f>
        <v>7.0953028173880994E-3</v>
      </c>
      <c r="BD31" s="5">
        <f>SUM(BD29:BD30)</f>
        <v>415</v>
      </c>
      <c r="BE31" s="4">
        <f>IFERROR(BD31/BD$11,0)</f>
        <v>1.0399178089057057E-2</v>
      </c>
      <c r="BF31" s="5">
        <f>SUM(BF29:BF30)</f>
        <v>394</v>
      </c>
      <c r="BG31" s="4">
        <f>IFERROR(BF31/BF$11,0)</f>
        <v>1.0115273035352109E-2</v>
      </c>
      <c r="BH31" s="5">
        <f>SUM(BH29:BH30)</f>
        <v>265</v>
      </c>
      <c r="BI31" s="4">
        <f>IFERROR(BH31/BH$11,0)</f>
        <v>7.0269410267288926E-3</v>
      </c>
      <c r="BJ31" s="5">
        <f>SUM(BJ29:BJ30)</f>
        <v>468</v>
      </c>
      <c r="BK31" s="4">
        <f>IFERROR(BJ31/BJ$11,0)</f>
        <v>1.2097712291585886E-2</v>
      </c>
      <c r="BL31" s="5">
        <f>SUM(BL29:BL30)</f>
        <v>360</v>
      </c>
      <c r="BM31" s="4">
        <f>IFERROR(BL31/BL$11,0)</f>
        <v>8.4184926221266051E-3</v>
      </c>
      <c r="BN31" s="5">
        <f>SUM(BN29:BN30)</f>
        <v>268</v>
      </c>
      <c r="BO31" s="4">
        <f>IFERROR(BN31/BN$11,0)</f>
        <v>6.6884624023559359E-3</v>
      </c>
      <c r="BP31" s="5">
        <f>SUM(BP29:BP30)</f>
        <v>469</v>
      </c>
      <c r="BQ31" s="4">
        <f>IFERROR(BP31/BP$11,0)</f>
        <v>1.3228408642184239E-2</v>
      </c>
      <c r="BR31" s="5">
        <f>SUM(BR29:BR30)</f>
        <v>382</v>
      </c>
      <c r="BS31" s="4">
        <f>IFERROR(BR31/BR$11,0)</f>
        <v>1.151330660960246E-2</v>
      </c>
      <c r="BT31" s="5">
        <f>SUM(BT29:BT30)</f>
        <v>310</v>
      </c>
      <c r="BU31" s="4">
        <f>IFERROR(BT31/BT$11,0)</f>
        <v>7.2659088245634598E-3</v>
      </c>
      <c r="BV31" s="5">
        <f>SUM(BV29:BV30)</f>
        <v>227</v>
      </c>
      <c r="BW31" s="4">
        <f>IFERROR(BV31/BV$11,0)</f>
        <v>6.6296728971962614E-3</v>
      </c>
      <c r="BX31" s="5">
        <f>SUM(BX29:BX30)</f>
        <v>230</v>
      </c>
      <c r="BY31" s="4">
        <f>IFERROR(BX31/BX$11,0)</f>
        <v>6.1698588980095498E-3</v>
      </c>
      <c r="BZ31" s="5">
        <f>SUM(BZ29:BZ30)</f>
        <v>233</v>
      </c>
      <c r="CA31" s="4">
        <f>IFERROR(BZ31/BZ$11,0)</f>
        <v>7.0958703861615296E-3</v>
      </c>
      <c r="CB31" s="5">
        <f>SUM(CB29:CB30)</f>
        <v>387</v>
      </c>
      <c r="CC31" s="4">
        <f>IFERROR(CB31/CB$11,0)</f>
        <v>1.0401548137397194E-2</v>
      </c>
      <c r="CD31" s="5">
        <f>SUM(CD29:CD30)</f>
        <v>508</v>
      </c>
      <c r="CE31" s="4">
        <f>IFERROR(CD31/CD$11,0)</f>
        <v>1.3601070950468541E-2</v>
      </c>
      <c r="CF31" s="5">
        <f>SUM(CF29:CF30)</f>
        <v>311</v>
      </c>
      <c r="CG31" s="4">
        <f>IFERROR(CF31/CF$11,0)</f>
        <v>8.1371009942438517E-3</v>
      </c>
      <c r="CH31" s="5">
        <f>SUM(CH29:CH30)</f>
        <v>370</v>
      </c>
      <c r="CI31" s="4">
        <f>IFERROR(CH31/CH$11,0)</f>
        <v>9.4503473641193297E-3</v>
      </c>
      <c r="CJ31" s="5">
        <f>SUM(CJ29:CJ30)</f>
        <v>568</v>
      </c>
      <c r="CK31" s="4">
        <f>IFERROR(CJ31/CJ$11,0)</f>
        <v>1.3637454981992796E-2</v>
      </c>
      <c r="CL31" s="5">
        <f>SUM(CL29:CL30)</f>
        <v>603</v>
      </c>
      <c r="CM31" s="4">
        <f>IFERROR(CL31/CL$11,0)</f>
        <v>1.3376516781649993E-2</v>
      </c>
      <c r="CN31" s="5">
        <f>SUM(CN29:CN30)</f>
        <v>428</v>
      </c>
      <c r="CO31" s="4">
        <f>IFERROR(CN31/CN$11,0)</f>
        <v>1.0380538914894133E-2</v>
      </c>
      <c r="CP31" s="5">
        <f>SUM(CP29:CP30)</f>
        <v>537</v>
      </c>
      <c r="CQ31" s="4">
        <f>IFERROR(CP31/CP$11,0)</f>
        <v>1.355957881978638E-2</v>
      </c>
      <c r="CR31" s="5">
        <f>SUM(CR29:CR30)</f>
        <v>379</v>
      </c>
      <c r="CS31" s="4">
        <f>IFERROR(CR31/CR$11,0)</f>
        <v>1.1513107931589659E-2</v>
      </c>
      <c r="CT31" s="5">
        <f>SUM(CT29:CT30)</f>
        <v>440</v>
      </c>
      <c r="CU31" s="4">
        <f>IFERROR(CT31/CT$11,0)</f>
        <v>1.151380348030878E-2</v>
      </c>
      <c r="CV31" s="5">
        <f>SUM(CV29:CV30)</f>
        <v>689</v>
      </c>
      <c r="CW31" s="4">
        <f>IFERROR(CV31/CV$11,0)</f>
        <v>1.7663043478260868E-2</v>
      </c>
      <c r="CX31" s="5">
        <f>SUM(CX29:CX30)</f>
        <v>423</v>
      </c>
      <c r="CY31" s="4">
        <f>IFERROR(CX31/CX$11,0)</f>
        <v>9.3822779194854163E-3</v>
      </c>
      <c r="CZ31" s="5">
        <f>SUM(CZ29:CZ30)</f>
        <v>559</v>
      </c>
      <c r="DA31" s="4">
        <f>IFERROR(CZ31/CZ$11,0)</f>
        <v>1.2172549702763321E-2</v>
      </c>
      <c r="DB31" s="5">
        <f>SUM(DB29:DB30)</f>
        <v>602</v>
      </c>
      <c r="DC31" s="4">
        <f>IFERROR(DB31/DB$11,0)</f>
        <v>1.2885273972602741E-2</v>
      </c>
      <c r="DD31" s="5">
        <f>SUM(OSRRefD31x_0)</f>
        <v>25009</v>
      </c>
      <c r="DE31" s="4">
        <f>IFERROR(DD31/DD$11,0)</f>
        <v>1.1183249407165705E-2</v>
      </c>
    </row>
    <row r="32" spans="2:110" ht="7.5" customHeight="1" x14ac:dyDescent="0.25">
      <c r="D32" s="5"/>
      <c r="E32" s="2"/>
      <c r="F32" s="5"/>
      <c r="G32" s="2"/>
      <c r="H32" s="5"/>
      <c r="I32" s="2"/>
      <c r="J32" s="5"/>
      <c r="K32" s="2"/>
      <c r="L32" s="5"/>
      <c r="M32" s="2"/>
      <c r="N32" s="5"/>
      <c r="O32" s="2"/>
      <c r="P32" s="5"/>
      <c r="Q32" s="2"/>
      <c r="R32" s="5"/>
      <c r="S32" s="2"/>
      <c r="T32" s="5"/>
      <c r="U32" s="2"/>
      <c r="V32" s="5"/>
      <c r="W32" s="2"/>
      <c r="X32" s="5"/>
      <c r="Y32" s="2"/>
      <c r="Z32" s="5"/>
      <c r="AA32" s="2"/>
      <c r="AB32" s="5"/>
      <c r="AC32" s="2"/>
      <c r="AD32" s="5"/>
      <c r="AE32" s="2"/>
      <c r="AF32" s="5"/>
      <c r="AG32" s="2"/>
      <c r="AH32" s="5"/>
      <c r="AI32" s="2"/>
      <c r="AJ32" s="5"/>
      <c r="AK32" s="2"/>
      <c r="AL32" s="5"/>
      <c r="AM32" s="2"/>
      <c r="AN32" s="5"/>
      <c r="AO32" s="2"/>
      <c r="AP32" s="5"/>
      <c r="AQ32" s="2"/>
      <c r="AR32" s="5"/>
      <c r="AS32" s="2"/>
      <c r="AT32" s="5"/>
      <c r="AU32" s="2"/>
      <c r="AV32" s="5"/>
      <c r="AW32" s="2"/>
      <c r="AX32" s="5"/>
      <c r="AY32" s="2"/>
      <c r="AZ32" s="5"/>
      <c r="BA32" s="2"/>
      <c r="BB32" s="5"/>
      <c r="BC32" s="2"/>
      <c r="BD32" s="5"/>
      <c r="BE32" s="2"/>
      <c r="BF32" s="5"/>
      <c r="BG32" s="2"/>
      <c r="BH32" s="5"/>
      <c r="BI32" s="2"/>
      <c r="BJ32" s="5"/>
      <c r="BK32" s="2"/>
      <c r="BL32" s="5"/>
      <c r="BM32" s="2"/>
      <c r="BN32" s="5"/>
      <c r="BO32" s="2"/>
      <c r="BP32" s="5"/>
      <c r="BQ32" s="2"/>
      <c r="BR32" s="5"/>
      <c r="BS32" s="2"/>
      <c r="BT32" s="5"/>
      <c r="BU32" s="2"/>
      <c r="BV32" s="5"/>
      <c r="BW32" s="2"/>
      <c r="BX32" s="5"/>
      <c r="BY32" s="2"/>
      <c r="BZ32" s="5"/>
      <c r="CA32" s="2"/>
      <c r="CB32" s="5"/>
      <c r="CC32" s="2"/>
      <c r="CD32" s="5"/>
      <c r="CE32" s="2"/>
      <c r="CF32" s="5"/>
      <c r="CG32" s="2"/>
      <c r="CH32" s="5"/>
      <c r="CI32" s="2"/>
      <c r="CJ32" s="5"/>
      <c r="CK32" s="2"/>
      <c r="CL32" s="5"/>
      <c r="CM32" s="2"/>
      <c r="CN32" s="5"/>
      <c r="CO32" s="2"/>
      <c r="CP32" s="5"/>
      <c r="CQ32" s="2"/>
      <c r="CR32" s="5"/>
      <c r="CS32" s="2"/>
      <c r="CT32" s="5"/>
      <c r="CU32" s="2"/>
      <c r="CV32" s="5"/>
      <c r="CW32" s="2"/>
      <c r="CX32" s="5"/>
      <c r="CY32" s="2"/>
      <c r="CZ32" s="5"/>
      <c r="DA32" s="2"/>
      <c r="DB32" s="5"/>
      <c r="DC32" s="2"/>
      <c r="DD32" s="5"/>
      <c r="DE32" s="2"/>
    </row>
    <row r="33" spans="2:110" x14ac:dyDescent="0.25">
      <c r="B33" s="30"/>
      <c r="C33" s="32" t="s">
        <v>20</v>
      </c>
      <c r="D33" s="3">
        <f>SUM(D25,D28,D31)</f>
        <v>7514</v>
      </c>
      <c r="E33" s="1">
        <f>IFERROR(D33/D$11,0)</f>
        <v>0.1990094552003602</v>
      </c>
      <c r="F33" s="3">
        <f>SUM(F25,F28,F31)</f>
        <v>7375</v>
      </c>
      <c r="G33" s="1">
        <f>IFERROR(F33/F$11,0)</f>
        <v>0.19486352947393454</v>
      </c>
      <c r="H33" s="3">
        <f>SUM(H25,H28,H31)</f>
        <v>7455</v>
      </c>
      <c r="I33" s="1">
        <f>IFERROR(H33/H$11,0)</f>
        <v>0.22814211830951434</v>
      </c>
      <c r="J33" s="3">
        <f>SUM(J25,J28,J31)</f>
        <v>8300</v>
      </c>
      <c r="K33" s="1">
        <f>IFERROR(J33/J$11,0)</f>
        <v>0.21731730945461211</v>
      </c>
      <c r="L33" s="3">
        <f>SUM(L25,L28,L31)</f>
        <v>8234</v>
      </c>
      <c r="M33" s="1">
        <f>IFERROR(L33/L$11,0)</f>
        <v>0.20349957985270131</v>
      </c>
      <c r="N33" s="3">
        <f>SUM(N25,N28,N31)</f>
        <v>7588</v>
      </c>
      <c r="O33" s="1">
        <f>IFERROR(N33/N$11,0)</f>
        <v>0.18895363314906122</v>
      </c>
      <c r="P33" s="3">
        <f>SUM(P25,P28,P31)</f>
        <v>10995</v>
      </c>
      <c r="Q33" s="1">
        <f>IFERROR(P33/P$11,0)</f>
        <v>0.19819738621000452</v>
      </c>
      <c r="R33" s="3">
        <f>SUM(R25,R28,R31)</f>
        <v>10617</v>
      </c>
      <c r="S33" s="1">
        <f>IFERROR(R33/R$11,0)</f>
        <v>0.19322959322959324</v>
      </c>
      <c r="T33" s="3">
        <f>SUM(T25,T28,T31)</f>
        <v>10309</v>
      </c>
      <c r="U33" s="1">
        <f>IFERROR(T33/T$11,0)</f>
        <v>0.19071316251965589</v>
      </c>
      <c r="V33" s="3">
        <f>SUM(V25,V28,V31)</f>
        <v>10733</v>
      </c>
      <c r="W33" s="1">
        <f>IFERROR(V33/V$11,0)</f>
        <v>0.19219267615722088</v>
      </c>
      <c r="X33" s="3">
        <f>SUM(X25,X28,X31)</f>
        <v>11185</v>
      </c>
      <c r="Y33" s="1">
        <f>IFERROR(X33/X$11,0)</f>
        <v>0.2106323678957478</v>
      </c>
      <c r="Z33" s="3">
        <f>SUM(Z25,Z28,Z31)</f>
        <v>9911</v>
      </c>
      <c r="AA33" s="1">
        <f>IFERROR(Z33/Z$11,0)</f>
        <v>0.19606330365974284</v>
      </c>
      <c r="AB33" s="3">
        <f>SUM(AB25,AB28,AB31)</f>
        <v>9641</v>
      </c>
      <c r="AC33" s="1">
        <f>IFERROR(AB33/AB$11,0)</f>
        <v>0.18255320760433236</v>
      </c>
      <c r="AD33" s="3">
        <f>SUM(AD25,AD28,AD31)</f>
        <v>9580</v>
      </c>
      <c r="AE33" s="1">
        <f>IFERROR(AD33/AD$11,0)</f>
        <v>0.19947528422104693</v>
      </c>
      <c r="AF33" s="3">
        <f>SUM(AF25,AF28,AF31)</f>
        <v>10350</v>
      </c>
      <c r="AG33" s="1">
        <f>IFERROR(AF33/AF$11,0)</f>
        <v>0.20960751751792298</v>
      </c>
      <c r="AH33" s="3">
        <f>SUM(AH25,AH28,AH31)</f>
        <v>8426</v>
      </c>
      <c r="AI33" s="1">
        <f>IFERROR(AH33/AH$11,0)</f>
        <v>0.20963849426517056</v>
      </c>
      <c r="AJ33" s="3">
        <f>SUM(AJ25,AJ28,AJ31)</f>
        <v>8812</v>
      </c>
      <c r="AK33" s="1">
        <f>IFERROR(AJ33/AJ$11,0)</f>
        <v>0.18304563677530586</v>
      </c>
      <c r="AL33" s="3">
        <f>SUM(AL25,AL28,AL31)</f>
        <v>8389</v>
      </c>
      <c r="AM33" s="1">
        <f>IFERROR(AL33/AL$11,0)</f>
        <v>0.18678333667312361</v>
      </c>
      <c r="AN33" s="3">
        <f>SUM(AN25,AN28,AN31)</f>
        <v>9164</v>
      </c>
      <c r="AO33" s="1">
        <f>IFERROR(AN33/AN$11,0)</f>
        <v>0.16745545911375057</v>
      </c>
      <c r="AP33" s="3">
        <f>SUM(AP25,AP28,AP31)</f>
        <v>9869</v>
      </c>
      <c r="AQ33" s="1">
        <f>IFERROR(AP33/AP$11,0)</f>
        <v>0.20048755713560182</v>
      </c>
      <c r="AR33" s="3">
        <f>SUM(AR25,AR28,AR31)</f>
        <v>9316</v>
      </c>
      <c r="AS33" s="1">
        <f>IFERROR(AR33/AR$11,0)</f>
        <v>0.1831802898322748</v>
      </c>
      <c r="AT33" s="3">
        <f>SUM(AT25,AT28,AT31)</f>
        <v>9039</v>
      </c>
      <c r="AU33" s="1">
        <f>IFERROR(AT33/AT$11,0)</f>
        <v>0.18761675453526505</v>
      </c>
      <c r="AV33" s="3">
        <f>SUM(AV25,AV28,AV31)</f>
        <v>8334</v>
      </c>
      <c r="AW33" s="1">
        <f>IFERROR(AV33/AV$11,0)</f>
        <v>0.20222756060275168</v>
      </c>
      <c r="AX33" s="3">
        <f>SUM(AX25,AX28,AX31)</f>
        <v>10065</v>
      </c>
      <c r="AY33" s="1">
        <f>IFERROR(AX33/AX$11,0)</f>
        <v>0.19558120554972602</v>
      </c>
      <c r="AZ33" s="3">
        <f>SUM(AZ25,AZ28,AZ31)</f>
        <v>8465</v>
      </c>
      <c r="BA33" s="1">
        <f>IFERROR(AZ33/AZ$11,0)</f>
        <v>0.20351003726409425</v>
      </c>
      <c r="BB33" s="3">
        <f>SUM(BB25,BB28,BB31)</f>
        <v>8713</v>
      </c>
      <c r="BC33" s="1">
        <f>IFERROR(BB33/BB$11,0)</f>
        <v>0.20071874496072242</v>
      </c>
      <c r="BD33" s="3">
        <f>SUM(BD25,BD28,BD31)</f>
        <v>7338</v>
      </c>
      <c r="BE33" s="1">
        <f>IFERROR(BD33/BD$11,0)</f>
        <v>0.18387751522289322</v>
      </c>
      <c r="BF33" s="3">
        <f>SUM(BF25,BF28,BF31)</f>
        <v>7132</v>
      </c>
      <c r="BG33" s="1">
        <f>IFERROR(BF33/BF$11,0)</f>
        <v>0.18310184590896253</v>
      </c>
      <c r="BH33" s="3">
        <f>SUM(BH25,BH28,BH31)</f>
        <v>7124</v>
      </c>
      <c r="BI33" s="1">
        <f>IFERROR(BH33/BH$11,0)</f>
        <v>0.18890538820534578</v>
      </c>
      <c r="BJ33" s="3">
        <f>SUM(BJ25,BJ28,BJ31)</f>
        <v>7202</v>
      </c>
      <c r="BK33" s="1">
        <f>IFERROR(BJ33/BJ$11,0)</f>
        <v>0.18617035026496057</v>
      </c>
      <c r="BL33" s="3">
        <f>SUM(BL25,BL28,BL31)</f>
        <v>7453</v>
      </c>
      <c r="BM33" s="1">
        <f>IFERROR(BL33/BL$11,0)</f>
        <v>0.17428618197974885</v>
      </c>
      <c r="BN33" s="3">
        <f>SUM(BN25,BN28,BN31)</f>
        <v>8732</v>
      </c>
      <c r="BO33" s="1">
        <f>IFERROR(BN33/BN$11,0)</f>
        <v>0.21792408096034341</v>
      </c>
      <c r="BP33" s="3">
        <f>SUM(BP25,BP28,BP31)</f>
        <v>7303</v>
      </c>
      <c r="BQ33" s="1">
        <f>IFERROR(BP33/BP$11,0)</f>
        <v>0.20598522028544028</v>
      </c>
      <c r="BR33" s="3">
        <f>SUM(BR25,BR28,BR31)</f>
        <v>6687</v>
      </c>
      <c r="BS33" s="1">
        <f>IFERROR(BR33/BR$11,0)</f>
        <v>0.20154314476023991</v>
      </c>
      <c r="BT33" s="3">
        <f>SUM(BT25,BT28,BT31)</f>
        <v>8087</v>
      </c>
      <c r="BU33" s="1">
        <f>IFERROR(BT33/BT$11,0)</f>
        <v>0.18954646665885386</v>
      </c>
      <c r="BV33" s="3">
        <f>SUM(BV25,BV28,BV31)</f>
        <v>6552</v>
      </c>
      <c r="BW33" s="1">
        <f>IFERROR(BV33/BV$11,0)</f>
        <v>0.19135514018691588</v>
      </c>
      <c r="BX33" s="3">
        <f>SUM(BX25,BX28,BX31)</f>
        <v>7813</v>
      </c>
      <c r="BY33" s="1">
        <f>IFERROR(BX33/BX$11,0)</f>
        <v>0.20958742421803744</v>
      </c>
      <c r="BZ33" s="3">
        <f>SUM(BZ25,BZ28,BZ31)</f>
        <v>7142</v>
      </c>
      <c r="CA33" s="1">
        <f>IFERROR(BZ33/BZ$11,0)</f>
        <v>0.21750517724448776</v>
      </c>
      <c r="CB33" s="3">
        <f>SUM(CB25,CB28,CB31)</f>
        <v>8023</v>
      </c>
      <c r="CC33" s="1">
        <f>IFERROR(CB33/CB$11,0)</f>
        <v>0.21563726280707413</v>
      </c>
      <c r="CD33" s="3">
        <f>SUM(CD25,CD28,CD31)</f>
        <v>7687</v>
      </c>
      <c r="CE33" s="1">
        <f>IFERROR(CD33/CD$11,0)</f>
        <v>0.20580990629183402</v>
      </c>
      <c r="CF33" s="3">
        <f>SUM(CF25,CF28,CF31)</f>
        <v>6972</v>
      </c>
      <c r="CG33" s="1">
        <f>IFERROR(CF33/CF$11,0)</f>
        <v>0.18241758241758241</v>
      </c>
      <c r="CH33" s="3">
        <f>SUM(CH25,CH28,CH31)</f>
        <v>7977</v>
      </c>
      <c r="CI33" s="1">
        <f>IFERROR(CH33/CH$11,0)</f>
        <v>0.20374438087454025</v>
      </c>
      <c r="CJ33" s="3">
        <f>SUM(CJ25,CJ28,CJ31)</f>
        <v>8244</v>
      </c>
      <c r="CK33" s="1">
        <f>IFERROR(CJ33/CJ$11,0)</f>
        <v>0.19793517406962785</v>
      </c>
      <c r="CL33" s="3">
        <f>SUM(CL25,CL28,CL31)</f>
        <v>8876</v>
      </c>
      <c r="CM33" s="1">
        <f>IFERROR(CL33/CL$11,0)</f>
        <v>0.19689877770136871</v>
      </c>
      <c r="CN33" s="3">
        <f>SUM(CN25,CN28,CN31)</f>
        <v>8228</v>
      </c>
      <c r="CO33" s="1">
        <f>IFERROR(CN33/CN$11,0)</f>
        <v>0.19955858456016104</v>
      </c>
      <c r="CP33" s="3">
        <f>SUM(CP25,CP28,CP31)</f>
        <v>8908</v>
      </c>
      <c r="CQ33" s="1">
        <f>IFERROR(CP33/CP$11,0)</f>
        <v>0.22493245461202435</v>
      </c>
      <c r="CR33" s="3">
        <f>SUM(CR25,CR28,CR31)</f>
        <v>6740</v>
      </c>
      <c r="CS33" s="1">
        <f>IFERROR(CR33/CR$11,0)</f>
        <v>0.20474498010267628</v>
      </c>
      <c r="CT33" s="3">
        <f>SUM(CT25,CT28,CT31)</f>
        <v>8181</v>
      </c>
      <c r="CU33" s="1">
        <f>IFERROR(CT33/CT$11,0)</f>
        <v>0.21407824152819574</v>
      </c>
      <c r="CV33" s="3">
        <f>SUM(CV25,CV28,CV31)</f>
        <v>7510</v>
      </c>
      <c r="CW33" s="1">
        <f>IFERROR(CV33/CV$11,0)</f>
        <v>0.19252461033634127</v>
      </c>
      <c r="CX33" s="3">
        <f>SUM(CX25,CX28,CX31)</f>
        <v>9589</v>
      </c>
      <c r="CY33" s="1">
        <f>IFERROR(CX33/CX$11,0)</f>
        <v>0.21268714650105355</v>
      </c>
      <c r="CZ33" s="3">
        <f>SUM(CZ25,CZ28,CZ31)</f>
        <v>8675</v>
      </c>
      <c r="DA33" s="1">
        <f>IFERROR(CZ33/CZ$11,0)</f>
        <v>0.18890316399189949</v>
      </c>
      <c r="DB33" s="3">
        <f>SUM(DB25,DB28,DB31)</f>
        <v>8055</v>
      </c>
      <c r="DC33" s="1">
        <f>IFERROR(DB33/DB$11,0)</f>
        <v>0.17241010273972604</v>
      </c>
      <c r="DD33" s="3">
        <f>SUM(OSRRefD33x_0)</f>
        <v>440609</v>
      </c>
      <c r="DE33" s="1">
        <f>IFERROR(DD33/DD$11,0)</f>
        <v>0.19702668391546538</v>
      </c>
      <c r="DF33" s="28"/>
    </row>
    <row r="34" spans="2:110" outlineLevel="1" x14ac:dyDescent="0.25">
      <c r="D34" s="7"/>
      <c r="E34" s="6"/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/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7"/>
      <c r="BA34" s="6"/>
      <c r="BB34" s="7"/>
      <c r="BC34" s="6"/>
      <c r="BD34" s="7"/>
      <c r="BE34" s="6"/>
      <c r="BF34" s="7"/>
      <c r="BG34" s="6"/>
      <c r="BH34" s="7"/>
      <c r="BI34" s="6"/>
      <c r="BJ34" s="7"/>
      <c r="BK34" s="6"/>
      <c r="BL34" s="7"/>
      <c r="BM34" s="6"/>
      <c r="BN34" s="7"/>
      <c r="BO34" s="6"/>
      <c r="BP34" s="7"/>
      <c r="BQ34" s="6"/>
      <c r="BR34" s="7"/>
      <c r="BS34" s="6"/>
      <c r="BT34" s="7"/>
      <c r="BU34" s="6"/>
      <c r="BV34" s="7"/>
      <c r="BW34" s="6"/>
      <c r="BX34" s="7"/>
      <c r="BY34" s="6"/>
      <c r="BZ34" s="7"/>
      <c r="CA34" s="6"/>
      <c r="CB34" s="7"/>
      <c r="CC34" s="6"/>
      <c r="CD34" s="7"/>
      <c r="CE34" s="6"/>
      <c r="CF34" s="7"/>
      <c r="CG34" s="6"/>
      <c r="CH34" s="7"/>
      <c r="CI34" s="6"/>
      <c r="CJ34" s="7"/>
      <c r="CK34" s="6"/>
      <c r="CL34" s="7"/>
      <c r="CM34" s="6"/>
      <c r="CN34" s="7"/>
      <c r="CO34" s="6"/>
      <c r="CP34" s="7"/>
      <c r="CQ34" s="6"/>
      <c r="CR34" s="7"/>
      <c r="CS34" s="6"/>
      <c r="CT34" s="7"/>
      <c r="CU34" s="6"/>
      <c r="CV34" s="7"/>
      <c r="CW34" s="6"/>
      <c r="CX34" s="7"/>
      <c r="CY34" s="6"/>
      <c r="CZ34" s="7"/>
      <c r="DA34" s="6"/>
      <c r="DB34" s="7"/>
      <c r="DC34" s="6"/>
      <c r="DD34" s="7"/>
      <c r="DE34" s="6"/>
    </row>
    <row r="35" spans="2:110" outlineLevel="1" x14ac:dyDescent="0.25">
      <c r="B35">
        <v>42000</v>
      </c>
      <c r="C35" t="s">
        <v>41</v>
      </c>
      <c r="D35" s="7">
        <f>IFERROR(1217,0)</f>
        <v>1217</v>
      </c>
      <c r="E35" s="4">
        <f t="shared" ref="E35:E36" si="106">IFERROR(D35/D$25,0)</f>
        <v>0.21392160309368957</v>
      </c>
      <c r="F35" s="7">
        <f>IFERROR(1205,0)</f>
        <v>1205</v>
      </c>
      <c r="G35" s="4">
        <f t="shared" ref="G35:G36" si="107">IFERROR(F35/F$25,0)</f>
        <v>0.21395596590909091</v>
      </c>
      <c r="H35" s="7">
        <f>IFERROR(1238,0)</f>
        <v>1238</v>
      </c>
      <c r="I35" s="4">
        <f t="shared" ref="I35:I36" si="108">IFERROR(H35/H$25,0)</f>
        <v>0.21407573923569082</v>
      </c>
      <c r="J35" s="7">
        <f>IFERROR(1330,0)</f>
        <v>1330</v>
      </c>
      <c r="K35" s="4">
        <f t="shared" ref="K35:K36" si="109">IFERROR(J35/J$25,0)</f>
        <v>0.2140328290955906</v>
      </c>
      <c r="L35" s="7">
        <f>IFERROR(1402,0)</f>
        <v>1402</v>
      </c>
      <c r="M35" s="4">
        <f t="shared" ref="M35:M36" si="110">IFERROR(L35/L$25,0)</f>
        <v>0.21404580152671757</v>
      </c>
      <c r="N35" s="7">
        <f>IFERROR(1214,0)</f>
        <v>1214</v>
      </c>
      <c r="O35" s="4">
        <f t="shared" ref="O35:O36" si="111">IFERROR(N35/N$25,0)</f>
        <v>0.21392070484581499</v>
      </c>
      <c r="P35" s="7">
        <f>IFERROR(1831,0)</f>
        <v>1831</v>
      </c>
      <c r="Q35" s="4">
        <f t="shared" ref="Q35:Q36" si="112">IFERROR(P35/P$25,0)</f>
        <v>0.21397686104943323</v>
      </c>
      <c r="R35" s="7">
        <f>IFERROR(1797,0)</f>
        <v>1797</v>
      </c>
      <c r="S35" s="4">
        <f t="shared" ref="S35:S36" si="113">IFERROR(R35/R$25,0)</f>
        <v>0.21403049070986183</v>
      </c>
      <c r="T35" s="7">
        <f>IFERROR(1627,0)</f>
        <v>1627</v>
      </c>
      <c r="U35" s="4">
        <f t="shared" ref="U35:U36" si="114">IFERROR(T35/T$25,0)</f>
        <v>0.21393819855358318</v>
      </c>
      <c r="V35" s="7">
        <f>IFERROR(1736,0)</f>
        <v>1736</v>
      </c>
      <c r="W35" s="4">
        <f t="shared" ref="W35:W36" si="115">IFERROR(V35/V$25,0)</f>
        <v>0.21397756686798963</v>
      </c>
      <c r="X35" s="7">
        <f>IFERROR(1789,0)</f>
        <v>1789</v>
      </c>
      <c r="Y35" s="4">
        <f t="shared" ref="Y35:Y36" si="116">IFERROR(X35/X$25,0)</f>
        <v>0.21396962085874896</v>
      </c>
      <c r="Z35" s="7">
        <f>IFERROR(1548,0)</f>
        <v>1548</v>
      </c>
      <c r="AA35" s="4">
        <f t="shared" ref="AA35:AA36" si="117">IFERROR(Z35/Z$25,0)</f>
        <v>0.21401907922024058</v>
      </c>
      <c r="AB35" s="7">
        <f>IFERROR(1516,0)</f>
        <v>1516</v>
      </c>
      <c r="AC35" s="4">
        <f t="shared" ref="AC35:AC36" si="118">IFERROR(AB35/AB$25,0)</f>
        <v>0.2139429861699125</v>
      </c>
      <c r="AD35" s="7">
        <f>IFERROR(1542,0)</f>
        <v>1542</v>
      </c>
      <c r="AE35" s="4">
        <f t="shared" ref="AE35:AE36" si="119">IFERROR(AD35/AD$25,0)</f>
        <v>0.21398834304746045</v>
      </c>
      <c r="AF35" s="7">
        <f>IFERROR(1680,0)</f>
        <v>1680</v>
      </c>
      <c r="AG35" s="4">
        <f t="shared" ref="AG35:AG36" si="120">IFERROR(AF35/AF$25,0)</f>
        <v>0.21395822720326033</v>
      </c>
      <c r="AH35" s="7">
        <f>IFERROR(1386,0)</f>
        <v>1386</v>
      </c>
      <c r="AI35" s="4">
        <f t="shared" ref="AI35:AI36" si="121">IFERROR(AH35/AH$25,0)</f>
        <v>0.21395492435937016</v>
      </c>
      <c r="AJ35" s="7">
        <f>IFERROR(1419,0)</f>
        <v>1419</v>
      </c>
      <c r="AK35" s="4">
        <f t="shared" ref="AK35:AK36" si="122">IFERROR(AJ35/AJ$25,0)</f>
        <v>0.21402714932126696</v>
      </c>
      <c r="AL35" s="7">
        <f>IFERROR(1334,0)</f>
        <v>1334</v>
      </c>
      <c r="AM35" s="4">
        <f t="shared" ref="AM35:AM36" si="123">IFERROR(AL35/AL$25,0)</f>
        <v>0.21398780879050369</v>
      </c>
      <c r="AN35" s="7">
        <f>IFERROR(1427,0)</f>
        <v>1427</v>
      </c>
      <c r="AO35" s="4">
        <f t="shared" ref="AO35:AO36" si="124">IFERROR(AN35/AN$25,0)</f>
        <v>0.21407140714071407</v>
      </c>
      <c r="AP35" s="7">
        <f>IFERROR(1519,0)</f>
        <v>1519</v>
      </c>
      <c r="AQ35" s="4">
        <f t="shared" ref="AQ35:AQ36" si="125">IFERROR(AP35/AP$25,0)</f>
        <v>0.2140642615558061</v>
      </c>
      <c r="AR35" s="7">
        <f>IFERROR(1523,0)</f>
        <v>1523</v>
      </c>
      <c r="AS35" s="4">
        <f t="shared" ref="AS35:AS36" si="126">IFERROR(AR35/AR$25,0)</f>
        <v>0.2139345413681697</v>
      </c>
      <c r="AT35" s="7">
        <f>IFERROR(1463,0)</f>
        <v>1463</v>
      </c>
      <c r="AU35" s="4">
        <f t="shared" ref="AU35:AU36" si="127">IFERROR(AT35/AT$25,0)</f>
        <v>0.21401404330017554</v>
      </c>
      <c r="AV35" s="7">
        <f>IFERROR(1260,0)</f>
        <v>1260</v>
      </c>
      <c r="AW35" s="4">
        <f t="shared" ref="AW35:AW36" si="128">IFERROR(AV35/AV$25,0)</f>
        <v>0.21406727828746178</v>
      </c>
      <c r="AX35" s="7">
        <f>IFERROR(1599,0)</f>
        <v>1599</v>
      </c>
      <c r="AY35" s="4">
        <f t="shared" ref="AY35:AY36" si="129">IFERROR(AX35/AX$25,0)</f>
        <v>0.21394166443671395</v>
      </c>
      <c r="AZ35" s="7">
        <f>IFERROR(1394,0)</f>
        <v>1394</v>
      </c>
      <c r="BA35" s="4">
        <f t="shared" ref="BA35:BA36" si="130">IFERROR(AZ35/AZ$25,0)</f>
        <v>0.21400061406202026</v>
      </c>
      <c r="BB35" s="7">
        <f>IFERROR(1517,0)</f>
        <v>1517</v>
      </c>
      <c r="BC35" s="4">
        <f t="shared" ref="BC35:BC36" si="131">IFERROR(BB35/BB$25,0)</f>
        <v>0.21396332863187589</v>
      </c>
      <c r="BD35" s="7">
        <f>IFERROR(1187,0)</f>
        <v>1187</v>
      </c>
      <c r="BE35" s="4">
        <f t="shared" ref="BE35:BE36" si="132">IFERROR(BD35/BD$25,0)</f>
        <v>0.21406672678088368</v>
      </c>
      <c r="BF35" s="7">
        <f>IFERROR(1190,0)</f>
        <v>1190</v>
      </c>
      <c r="BG35" s="4">
        <f t="shared" ref="BG35:BG36" si="133">IFERROR(BF35/BF$25,0)</f>
        <v>0.21395181589356346</v>
      </c>
      <c r="BH35" s="7">
        <f>IFERROR(1210,0)</f>
        <v>1210</v>
      </c>
      <c r="BI35" s="4">
        <f t="shared" ref="BI35:BI36" si="134">IFERROR(BH35/BH$25,0)</f>
        <v>0.21393210749646394</v>
      </c>
      <c r="BJ35" s="7">
        <f>IFERROR(1152,0)</f>
        <v>1152</v>
      </c>
      <c r="BK35" s="4">
        <f t="shared" ref="BK35:BK36" si="135">IFERROR(BJ35/BJ$25,0)</f>
        <v>0.2139275766016713</v>
      </c>
      <c r="BL35" s="7">
        <f>IFERROR(1251,0)</f>
        <v>1251</v>
      </c>
      <c r="BM35" s="4">
        <f t="shared" ref="BM35:BM36" si="136">IFERROR(BL35/BL$25,0)</f>
        <v>0.21391928864569085</v>
      </c>
      <c r="BN35" s="7">
        <f>IFERROR(1502,0)</f>
        <v>1502</v>
      </c>
      <c r="BO35" s="4">
        <f t="shared" ref="BO35:BO36" si="137">IFERROR(BN35/BN$25,0)</f>
        <v>0.2140210886292391</v>
      </c>
      <c r="BP35" s="7">
        <f>IFERROR(1090,0)</f>
        <v>1090</v>
      </c>
      <c r="BQ35" s="4">
        <f t="shared" ref="BQ35:BQ36" si="138">IFERROR(BP35/BP$25,0)</f>
        <v>0.21406127258444618</v>
      </c>
      <c r="BR35" s="7">
        <f>IFERROR(1064,0)</f>
        <v>1064</v>
      </c>
      <c r="BS35" s="4">
        <f t="shared" ref="BS35:BS36" si="139">IFERROR(BR35/BR$25,0)</f>
        <v>0.21399839098954143</v>
      </c>
      <c r="BT35" s="7">
        <f>IFERROR(1328,0)</f>
        <v>1328</v>
      </c>
      <c r="BU35" s="4">
        <f t="shared" ref="BU35:BU36" si="140">IFERROR(BT35/BT$25,0)</f>
        <v>0.21395198968906073</v>
      </c>
      <c r="BV35" s="7">
        <f>IFERROR(1073,0)</f>
        <v>1073</v>
      </c>
      <c r="BW35" s="4">
        <f t="shared" ref="BW35:BW36" si="141">IFERROR(BV35/BV$25,0)</f>
        <v>0.2140007977662545</v>
      </c>
      <c r="BX35" s="7">
        <f>IFERROR(1271,0)</f>
        <v>1271</v>
      </c>
      <c r="BY35" s="4">
        <f t="shared" ref="BY35:BY36" si="142">IFERROR(BX35/BX$25,0)</f>
        <v>0.21408118578406601</v>
      </c>
      <c r="BZ35" s="7">
        <f>IFERROR(1189,0)</f>
        <v>1189</v>
      </c>
      <c r="CA35" s="4">
        <f t="shared" ref="CA35:CA36" si="143">IFERROR(BZ35/BZ$25,0)</f>
        <v>0.21404140414041403</v>
      </c>
      <c r="CB35" s="7">
        <f>IFERROR(1324,0)</f>
        <v>1324</v>
      </c>
      <c r="CC35" s="4">
        <f t="shared" ref="CC35:CC36" si="144">IFERROR(CB35/CB$25,0)</f>
        <v>0.21399709067399386</v>
      </c>
      <c r="CD35" s="7">
        <f>IFERROR(1221,0)</f>
        <v>1221</v>
      </c>
      <c r="CE35" s="4">
        <f t="shared" ref="CE35:CE36" si="145">IFERROR(CD35/CD$25,0)</f>
        <v>0.21398527865404837</v>
      </c>
      <c r="CF35" s="7">
        <f>IFERROR(1145,0)</f>
        <v>1145</v>
      </c>
      <c r="CG35" s="4">
        <f t="shared" ref="CG35:CG36" si="146">IFERROR(CF35/CF$25,0)</f>
        <v>0.21393871449925261</v>
      </c>
      <c r="CH35" s="7">
        <f>IFERROR(1302,0)</f>
        <v>1302</v>
      </c>
      <c r="CI35" s="4">
        <f t="shared" ref="CI35:CI36" si="147">IFERROR(CH35/CH$25,0)</f>
        <v>0.21393361813999343</v>
      </c>
      <c r="CJ35" s="7">
        <f>IFERROR(1334,0)</f>
        <v>1334</v>
      </c>
      <c r="CK35" s="4">
        <f t="shared" ref="CK35:CK36" si="148">IFERROR(CJ35/CJ$25,0)</f>
        <v>0.21405648267008986</v>
      </c>
      <c r="CL35" s="7">
        <f>IFERROR(1456,0)</f>
        <v>1456</v>
      </c>
      <c r="CM35" s="4">
        <f t="shared" ref="CM35:CM36" si="149">IFERROR(CL35/CL$25,0)</f>
        <v>0.2139917695473251</v>
      </c>
      <c r="CN35" s="7">
        <f>IFERROR(1350,0)</f>
        <v>1350</v>
      </c>
      <c r="CO35" s="4">
        <f t="shared" ref="CO35:CO36" si="150">IFERROR(CN35/CN$25,0)</f>
        <v>0.21398002853067047</v>
      </c>
      <c r="CP35" s="7">
        <f>IFERROR(1459,0)</f>
        <v>1459</v>
      </c>
      <c r="CQ35" s="4">
        <f t="shared" ref="CQ35:CQ36" si="151">IFERROR(CP35/CP$25,0)</f>
        <v>0.21402376411911397</v>
      </c>
      <c r="CR35" s="7">
        <f>IFERROR(1094,0)</f>
        <v>1094</v>
      </c>
      <c r="CS35" s="4">
        <f t="shared" ref="CS35:CS36" si="152">IFERROR(CR35/CR$25,0)</f>
        <v>0.21404813148111915</v>
      </c>
      <c r="CT35" s="7">
        <f>IFERROR(1276,0)</f>
        <v>1276</v>
      </c>
      <c r="CU35" s="4">
        <f t="shared" ref="CU35:CU36" si="153">IFERROR(CT35/CT$25,0)</f>
        <v>0.2139862485326178</v>
      </c>
      <c r="CV35" s="7">
        <f>IFERROR(1135,0)</f>
        <v>1135</v>
      </c>
      <c r="CW35" s="4">
        <f t="shared" ref="CW35:CW36" si="154">IFERROR(CV35/CV$25,0)</f>
        <v>0.21398944193061839</v>
      </c>
      <c r="CX35" s="7">
        <f>IFERROR(1488,0)</f>
        <v>1488</v>
      </c>
      <c r="CY35" s="4">
        <f t="shared" ref="CY35:CY36" si="155">IFERROR(CX35/CX$25,0)</f>
        <v>0.21406991799741046</v>
      </c>
      <c r="CZ35" s="7">
        <f>IFERROR(1354,0)</f>
        <v>1354</v>
      </c>
      <c r="DA35" s="4">
        <f t="shared" ref="DA35:DA36" si="156">IFERROR(CZ35/CZ$25,0)</f>
        <v>0.21393585084531522</v>
      </c>
      <c r="DB35" s="7">
        <f>IFERROR(1296,0)</f>
        <v>1296</v>
      </c>
      <c r="DC35" s="4">
        <f t="shared" ref="DC35:DC36" si="157">IFERROR(DB35/DB$25,0)</f>
        <v>0.21407333994053518</v>
      </c>
      <c r="DD35" s="7">
        <f>SUM(OSRRefD35_0x_0)</f>
        <v>71254</v>
      </c>
      <c r="DE35" s="4">
        <f t="shared" ref="DE35:DE36" si="158">IFERROR(DD35/DD$25,0)</f>
        <v>0.21399461214339988</v>
      </c>
    </row>
    <row r="36" spans="2:110" outlineLevel="1" x14ac:dyDescent="0.25">
      <c r="B36">
        <v>42500</v>
      </c>
      <c r="C36" t="s">
        <v>42</v>
      </c>
      <c r="D36" s="7">
        <f>IFERROR(256,0)</f>
        <v>256</v>
      </c>
      <c r="E36" s="4">
        <f t="shared" si="106"/>
        <v>4.49991211109158E-2</v>
      </c>
      <c r="F36" s="7">
        <f>IFERROR(253,0)</f>
        <v>253</v>
      </c>
      <c r="G36" s="4">
        <f t="shared" si="107"/>
        <v>4.4921875E-2</v>
      </c>
      <c r="H36" s="7">
        <f>IFERROR(260,0)</f>
        <v>260</v>
      </c>
      <c r="I36" s="4">
        <f t="shared" si="108"/>
        <v>4.4959363652083695E-2</v>
      </c>
      <c r="J36" s="7">
        <f>IFERROR(280,0)</f>
        <v>280</v>
      </c>
      <c r="K36" s="4">
        <f t="shared" si="109"/>
        <v>4.5059542967492761E-2</v>
      </c>
      <c r="L36" s="7">
        <f>IFERROR(295,0)</f>
        <v>295</v>
      </c>
      <c r="M36" s="4">
        <f t="shared" si="110"/>
        <v>4.5038167938931298E-2</v>
      </c>
      <c r="N36" s="7">
        <f>IFERROR(255,0)</f>
        <v>255</v>
      </c>
      <c r="O36" s="4">
        <f t="shared" si="111"/>
        <v>4.4933920704845816E-2</v>
      </c>
      <c r="P36" s="7">
        <f>IFERROR(385,0)</f>
        <v>385</v>
      </c>
      <c r="Q36" s="4">
        <f t="shared" si="112"/>
        <v>4.4992403879864439E-2</v>
      </c>
      <c r="R36" s="7">
        <f>IFERROR(378,0)</f>
        <v>378</v>
      </c>
      <c r="S36" s="4">
        <f t="shared" si="113"/>
        <v>4.5021438780371605E-2</v>
      </c>
      <c r="T36" s="7">
        <f>IFERROR(342,0)</f>
        <v>342</v>
      </c>
      <c r="U36" s="4">
        <f t="shared" si="114"/>
        <v>4.4970414201183431E-2</v>
      </c>
      <c r="V36" s="7">
        <f>IFERROR(365,0)</f>
        <v>365</v>
      </c>
      <c r="W36" s="4">
        <f t="shared" si="115"/>
        <v>4.4989522987797362E-2</v>
      </c>
      <c r="X36" s="7">
        <f>IFERROR(376,0)</f>
        <v>376</v>
      </c>
      <c r="Y36" s="4">
        <f t="shared" si="116"/>
        <v>4.4970697285013753E-2</v>
      </c>
      <c r="Z36" s="7">
        <f>IFERROR(325,0)</f>
        <v>325</v>
      </c>
      <c r="AA36" s="4">
        <f t="shared" si="117"/>
        <v>4.4932946218719759E-2</v>
      </c>
      <c r="AB36" s="7">
        <f>IFERROR(319,0)</f>
        <v>319</v>
      </c>
      <c r="AC36" s="4">
        <f t="shared" si="118"/>
        <v>4.5018346034434095E-2</v>
      </c>
      <c r="AD36" s="7">
        <f>IFERROR(324,0)</f>
        <v>324</v>
      </c>
      <c r="AE36" s="4">
        <f t="shared" si="119"/>
        <v>4.4962531223980015E-2</v>
      </c>
      <c r="AF36" s="7">
        <f>IFERROR(353,0)</f>
        <v>353</v>
      </c>
      <c r="AG36" s="4">
        <f t="shared" si="120"/>
        <v>4.4956698930208865E-2</v>
      </c>
      <c r="AH36" s="7">
        <f>IFERROR(292,0)</f>
        <v>292</v>
      </c>
      <c r="AI36" s="4">
        <f t="shared" si="121"/>
        <v>4.5075640629824019E-2</v>
      </c>
      <c r="AJ36" s="7">
        <f>IFERROR(298,0)</f>
        <v>298</v>
      </c>
      <c r="AK36" s="4">
        <f t="shared" si="122"/>
        <v>4.4947209653092006E-2</v>
      </c>
      <c r="AL36" s="7">
        <f>IFERROR(281,0)</f>
        <v>281</v>
      </c>
      <c r="AM36" s="4">
        <f t="shared" si="123"/>
        <v>4.5075393006095602E-2</v>
      </c>
      <c r="AN36" s="7">
        <f>IFERROR(300,0)</f>
        <v>300</v>
      </c>
      <c r="AO36" s="4">
        <f t="shared" si="124"/>
        <v>4.5004500450045004E-2</v>
      </c>
      <c r="AP36" s="7">
        <f>IFERROR(319,0)</f>
        <v>319</v>
      </c>
      <c r="AQ36" s="4">
        <f t="shared" si="125"/>
        <v>4.4954904171364149E-2</v>
      </c>
      <c r="AR36" s="7">
        <f>IFERROR(320,0)</f>
        <v>320</v>
      </c>
      <c r="AS36" s="4">
        <f t="shared" si="126"/>
        <v>4.4950133445708668E-2</v>
      </c>
      <c r="AT36" s="7">
        <f>IFERROR(308,0)</f>
        <v>308</v>
      </c>
      <c r="AU36" s="4">
        <f t="shared" si="127"/>
        <v>4.5055588063194853E-2</v>
      </c>
      <c r="AV36" s="7">
        <f>IFERROR(265,0)</f>
        <v>265</v>
      </c>
      <c r="AW36" s="4">
        <f t="shared" si="128"/>
        <v>4.5022086306489975E-2</v>
      </c>
      <c r="AX36" s="7">
        <f>IFERROR(336,0)</f>
        <v>336</v>
      </c>
      <c r="AY36" s="4">
        <f t="shared" si="129"/>
        <v>4.4955846936044958E-2</v>
      </c>
      <c r="AZ36" s="7">
        <f>IFERROR(293,0)</f>
        <v>293</v>
      </c>
      <c r="BA36" s="4">
        <f t="shared" si="130"/>
        <v>4.4980042984341419E-2</v>
      </c>
      <c r="BB36" s="7">
        <f>IFERROR(319,0)</f>
        <v>319</v>
      </c>
      <c r="BC36" s="4">
        <f t="shared" si="131"/>
        <v>4.4992947813822286E-2</v>
      </c>
      <c r="BD36" s="7">
        <f>IFERROR(250,0)</f>
        <v>250</v>
      </c>
      <c r="BE36" s="4">
        <f t="shared" si="132"/>
        <v>4.5085662759242563E-2</v>
      </c>
      <c r="BF36" s="7">
        <f>IFERROR(250,0)</f>
        <v>250</v>
      </c>
      <c r="BG36" s="4">
        <f t="shared" si="133"/>
        <v>4.4947860481841066E-2</v>
      </c>
      <c r="BH36" s="7">
        <f>IFERROR(255,0)</f>
        <v>255</v>
      </c>
      <c r="BI36" s="4">
        <f t="shared" si="134"/>
        <v>4.5084865629420087E-2</v>
      </c>
      <c r="BJ36" s="7">
        <f>IFERROR(242,0)</f>
        <v>242</v>
      </c>
      <c r="BK36" s="4">
        <f t="shared" si="135"/>
        <v>4.4939647168059427E-2</v>
      </c>
      <c r="BL36" s="7">
        <f>IFERROR(263,0)</f>
        <v>263</v>
      </c>
      <c r="BM36" s="4">
        <f t="shared" si="136"/>
        <v>4.497264021887825E-2</v>
      </c>
      <c r="BN36" s="7">
        <f>IFERROR(316,0)</f>
        <v>316</v>
      </c>
      <c r="BO36" s="4">
        <f t="shared" si="137"/>
        <v>4.5027073240239385E-2</v>
      </c>
      <c r="BP36" s="7">
        <f>IFERROR(229,0)</f>
        <v>229</v>
      </c>
      <c r="BQ36" s="4">
        <f t="shared" si="138"/>
        <v>4.4972505891594655E-2</v>
      </c>
      <c r="BR36" s="7">
        <f>IFERROR(224,0)</f>
        <v>224</v>
      </c>
      <c r="BS36" s="4">
        <f t="shared" si="139"/>
        <v>4.505229283990346E-2</v>
      </c>
      <c r="BT36" s="7">
        <f>IFERROR(279,0)</f>
        <v>279</v>
      </c>
      <c r="BU36" s="4">
        <f t="shared" si="140"/>
        <v>4.4949250845819237E-2</v>
      </c>
      <c r="BV36" s="7">
        <f>IFERROR(226,0)</f>
        <v>226</v>
      </c>
      <c r="BW36" s="4">
        <f t="shared" si="141"/>
        <v>4.5073793378540089E-2</v>
      </c>
      <c r="BX36" s="7">
        <f>IFERROR(267,0)</f>
        <v>267</v>
      </c>
      <c r="BY36" s="4">
        <f t="shared" si="142"/>
        <v>4.4972208185952503E-2</v>
      </c>
      <c r="BZ36" s="7">
        <f>IFERROR(250,0)</f>
        <v>250</v>
      </c>
      <c r="CA36" s="4">
        <f t="shared" si="143"/>
        <v>4.5004500450045004E-2</v>
      </c>
      <c r="CB36" s="7">
        <f>IFERROR(278,0)</f>
        <v>278</v>
      </c>
      <c r="CC36" s="4">
        <f t="shared" si="144"/>
        <v>4.4932923872636171E-2</v>
      </c>
      <c r="CD36" s="7">
        <f>IFERROR(257,0)</f>
        <v>257</v>
      </c>
      <c r="CE36" s="4">
        <f t="shared" si="145"/>
        <v>4.504030844724851E-2</v>
      </c>
      <c r="CF36" s="7">
        <f>IFERROR(241,0)</f>
        <v>241</v>
      </c>
      <c r="CG36" s="4">
        <f t="shared" si="146"/>
        <v>4.5029895366218237E-2</v>
      </c>
      <c r="CH36" s="7">
        <f>IFERROR(274,0)</f>
        <v>274</v>
      </c>
      <c r="CI36" s="4">
        <f t="shared" si="147"/>
        <v>4.5021360499507064E-2</v>
      </c>
      <c r="CJ36" s="7">
        <f>IFERROR(280,0)</f>
        <v>280</v>
      </c>
      <c r="CK36" s="4">
        <f t="shared" si="148"/>
        <v>4.4929396662387676E-2</v>
      </c>
      <c r="CL36" s="7">
        <f>IFERROR(306,0)</f>
        <v>306</v>
      </c>
      <c r="CM36" s="4">
        <f t="shared" si="149"/>
        <v>4.4973544973544971E-2</v>
      </c>
      <c r="CN36" s="7">
        <f>IFERROR(284,0)</f>
        <v>284</v>
      </c>
      <c r="CO36" s="4">
        <f t="shared" si="150"/>
        <v>4.5015057853859564E-2</v>
      </c>
      <c r="CP36" s="7">
        <f>IFERROR(307,0)</f>
        <v>307</v>
      </c>
      <c r="CQ36" s="4">
        <f t="shared" si="151"/>
        <v>4.5034472641924603E-2</v>
      </c>
      <c r="CR36" s="7">
        <f>IFERROR(230,0)</f>
        <v>230</v>
      </c>
      <c r="CS36" s="4">
        <f t="shared" si="152"/>
        <v>4.5000978282136568E-2</v>
      </c>
      <c r="CT36" s="7">
        <f>IFERROR(268,0)</f>
        <v>268</v>
      </c>
      <c r="CU36" s="4">
        <f t="shared" si="153"/>
        <v>4.49438202247191E-2</v>
      </c>
      <c r="CV36" s="7">
        <f>IFERROR(239,0)</f>
        <v>239</v>
      </c>
      <c r="CW36" s="4">
        <f t="shared" si="154"/>
        <v>4.5060331825037707E-2</v>
      </c>
      <c r="CX36" s="7">
        <f>IFERROR(313,0)</f>
        <v>313</v>
      </c>
      <c r="CY36" s="4">
        <f t="shared" si="155"/>
        <v>4.5029492159401524E-2</v>
      </c>
      <c r="CZ36" s="7">
        <f>IFERROR(285,0)</f>
        <v>285</v>
      </c>
      <c r="DA36" s="4">
        <f t="shared" si="156"/>
        <v>4.5030810554589983E-2</v>
      </c>
      <c r="DB36" s="7">
        <f>IFERROR(272,0)</f>
        <v>272</v>
      </c>
      <c r="DC36" s="4">
        <f t="shared" si="157"/>
        <v>4.4928972580112324E-2</v>
      </c>
      <c r="DD36" s="7">
        <f>SUM(OSRRefD35_1x_0)</f>
        <v>14982</v>
      </c>
      <c r="DE36" s="4">
        <f t="shared" si="158"/>
        <v>4.4994909466590183E-2</v>
      </c>
    </row>
    <row r="37" spans="2:110" outlineLevel="1" x14ac:dyDescent="0.25">
      <c r="B37">
        <v>43001</v>
      </c>
      <c r="C37" t="s">
        <v>43</v>
      </c>
      <c r="D37" s="7">
        <f>IFERROR(409,0)</f>
        <v>409</v>
      </c>
      <c r="E37" s="4">
        <f>IFERROR(D37/D$28,0)</f>
        <v>0.26489637305699482</v>
      </c>
      <c r="F37" s="7">
        <f>IFERROR(356,0)</f>
        <v>356</v>
      </c>
      <c r="G37" s="4">
        <f>IFERROR(F37/F$28,0)</f>
        <v>0.26468401486988846</v>
      </c>
      <c r="H37" s="7">
        <f>IFERROR(329,0)</f>
        <v>329</v>
      </c>
      <c r="I37" s="4">
        <f>IFERROR(H37/H$28,0)</f>
        <v>0.26489533011272143</v>
      </c>
      <c r="J37" s="7">
        <f>IFERROR(405,0)</f>
        <v>405</v>
      </c>
      <c r="K37" s="4">
        <f>IFERROR(J37/J$28,0)</f>
        <v>0.26470588235294118</v>
      </c>
      <c r="L37" s="7">
        <f>IFERROR(359,0)</f>
        <v>359</v>
      </c>
      <c r="M37" s="4">
        <f>IFERROR(L37/L$28,0)</f>
        <v>0.26514032496307238</v>
      </c>
      <c r="N37" s="7">
        <f>IFERROR(405,0)</f>
        <v>405</v>
      </c>
      <c r="O37" s="4">
        <f>IFERROR(N37/N$28,0)</f>
        <v>0.2650523560209424</v>
      </c>
      <c r="P37" s="7">
        <f>IFERROR(461,0)</f>
        <v>461</v>
      </c>
      <c r="Q37" s="4">
        <f>IFERROR(P37/P$28,0)</f>
        <v>0.26479035037334864</v>
      </c>
      <c r="R37" s="7">
        <f>IFERROR(455,0)</f>
        <v>455</v>
      </c>
      <c r="S37" s="4">
        <f>IFERROR(R37/R$28,0)</f>
        <v>0.26499708794408855</v>
      </c>
      <c r="T37" s="7">
        <f>IFERROR(565,0)</f>
        <v>565</v>
      </c>
      <c r="U37" s="4">
        <f>IFERROR(T37/T$28,0)</f>
        <v>0.26488513830285981</v>
      </c>
      <c r="V37" s="7">
        <f>IFERROR(553,0)</f>
        <v>553</v>
      </c>
      <c r="W37" s="4">
        <f>IFERROR(V37/V$28,0)</f>
        <v>0.26522781774580334</v>
      </c>
      <c r="X37" s="7">
        <f>IFERROR(603,0)</f>
        <v>603</v>
      </c>
      <c r="Y37" s="4">
        <f>IFERROR(X37/X$28,0)</f>
        <v>0.26505494505494503</v>
      </c>
      <c r="Z37" s="7">
        <f>IFERROR(560,0)</f>
        <v>560</v>
      </c>
      <c r="AA37" s="4">
        <f>IFERROR(Z37/Z$28,0)</f>
        <v>0.26502602934216751</v>
      </c>
      <c r="AB37" s="7">
        <f>IFERROR(485,0)</f>
        <v>485</v>
      </c>
      <c r="AC37" s="4">
        <f>IFERROR(AB37/AB$28,0)</f>
        <v>0.26473799126637554</v>
      </c>
      <c r="AD37" s="7">
        <f>IFERROR(456,0)</f>
        <v>456</v>
      </c>
      <c r="AE37" s="4">
        <f>IFERROR(AD37/AD$28,0)</f>
        <v>0.26527050610820246</v>
      </c>
      <c r="AF37" s="7">
        <f>IFERROR(542,0)</f>
        <v>542</v>
      </c>
      <c r="AG37" s="4">
        <f>IFERROR(AF37/AF$28,0)</f>
        <v>0.2649071358748778</v>
      </c>
      <c r="AH37" s="7">
        <f>IFERROR(363,0)</f>
        <v>363</v>
      </c>
      <c r="AI37" s="4">
        <f>IFERROR(AH37/AH$28,0)</f>
        <v>0.26496350364963506</v>
      </c>
      <c r="AJ37" s="7">
        <f>IFERROR(427,0)</f>
        <v>427</v>
      </c>
      <c r="AK37" s="4">
        <f>IFERROR(AJ37/AJ$28,0)</f>
        <v>0.26521739130434785</v>
      </c>
      <c r="AL37" s="7">
        <f>IFERROR(428,0)</f>
        <v>428</v>
      </c>
      <c r="AM37" s="4">
        <f>IFERROR(AL37/AL$28,0)</f>
        <v>0.26501547987616098</v>
      </c>
      <c r="AN37" s="7">
        <f>IFERROR(431,0)</f>
        <v>431</v>
      </c>
      <c r="AO37" s="4">
        <f>IFERROR(AN37/AN$28,0)</f>
        <v>0.26506765067650678</v>
      </c>
      <c r="AP37" s="7">
        <f>IFERROR(538,0)</f>
        <v>538</v>
      </c>
      <c r="AQ37" s="4">
        <f>IFERROR(AP37/AP$28,0)</f>
        <v>0.26502463054187192</v>
      </c>
      <c r="AR37" s="7">
        <f>IFERROR(440,0)</f>
        <v>440</v>
      </c>
      <c r="AS37" s="4">
        <f>IFERROR(AR37/AR$28,0)</f>
        <v>0.26490066225165565</v>
      </c>
      <c r="AT37" s="7">
        <f>IFERROR(441,0)</f>
        <v>441</v>
      </c>
      <c r="AU37" s="4">
        <f>IFERROR(AT37/AT$28,0)</f>
        <v>0.26502403846153844</v>
      </c>
      <c r="AV37" s="7">
        <f>IFERROR(450,0)</f>
        <v>450</v>
      </c>
      <c r="AW37" s="4">
        <f>IFERROR(AV37/AV$28,0)</f>
        <v>0.26486168334314303</v>
      </c>
      <c r="AX37" s="7">
        <f>IFERROR(493,0)</f>
        <v>493</v>
      </c>
      <c r="AY37" s="4">
        <f>IFERROR(AX37/AX$28,0)</f>
        <v>0.26519634211941906</v>
      </c>
      <c r="AZ37" s="7">
        <f>IFERROR(415,0)</f>
        <v>415</v>
      </c>
      <c r="BA37" s="4">
        <f>IFERROR(AZ37/AZ$28,0)</f>
        <v>0.26483726866624124</v>
      </c>
      <c r="BB37" s="7">
        <f>IFERROR(348,0)</f>
        <v>348</v>
      </c>
      <c r="BC37" s="4">
        <f>IFERROR(BB37/BB$28,0)</f>
        <v>0.26463878326996199</v>
      </c>
      <c r="BD37" s="7">
        <f>IFERROR(365,0)</f>
        <v>365</v>
      </c>
      <c r="BE37" s="4">
        <f>IFERROR(BD37/BD$28,0)</f>
        <v>0.26487663280116108</v>
      </c>
      <c r="BF37" s="7">
        <f>IFERROR(312,0)</f>
        <v>312</v>
      </c>
      <c r="BG37" s="4">
        <f>IFERROR(BF37/BF$28,0)</f>
        <v>0.26530612244897961</v>
      </c>
      <c r="BH37" s="7">
        <f>IFERROR(319,0)</f>
        <v>319</v>
      </c>
      <c r="BI37" s="4">
        <f>IFERROR(BH37/BH$28,0)</f>
        <v>0.26517040731504571</v>
      </c>
      <c r="BJ37" s="7">
        <f>IFERROR(357,0)</f>
        <v>357</v>
      </c>
      <c r="BK37" s="4">
        <f>IFERROR(BJ37/BJ$28,0)</f>
        <v>0.26464047442550037</v>
      </c>
      <c r="BL37" s="7">
        <f>IFERROR(330,0)</f>
        <v>330</v>
      </c>
      <c r="BM37" s="4">
        <f>IFERROR(BL37/BL$28,0)</f>
        <v>0.26506024096385544</v>
      </c>
      <c r="BN37" s="7">
        <f>IFERROR(383,0)</f>
        <v>383</v>
      </c>
      <c r="BO37" s="4">
        <f>IFERROR(BN37/BN$28,0)</f>
        <v>0.2648686030428769</v>
      </c>
      <c r="BP37" s="7">
        <f>IFERROR(462,0)</f>
        <v>462</v>
      </c>
      <c r="BQ37" s="4">
        <f>IFERROR(BP37/BP$28,0)</f>
        <v>0.26521239954075776</v>
      </c>
      <c r="BR37" s="7">
        <f>IFERROR(353,0)</f>
        <v>353</v>
      </c>
      <c r="BS37" s="4">
        <f>IFERROR(BR37/BR$28,0)</f>
        <v>0.26481620405101275</v>
      </c>
      <c r="BT37" s="7">
        <f>IFERROR(416,0)</f>
        <v>416</v>
      </c>
      <c r="BU37" s="4">
        <f>IFERROR(BT37/BT$28,0)</f>
        <v>0.26496815286624203</v>
      </c>
      <c r="BV37" s="7">
        <f>IFERROR(347,0)</f>
        <v>347</v>
      </c>
      <c r="BW37" s="4">
        <f>IFERROR(BV37/BV$28,0)</f>
        <v>0.26468344774980929</v>
      </c>
      <c r="BX37" s="7">
        <f>IFERROR(436,0)</f>
        <v>436</v>
      </c>
      <c r="BY37" s="4">
        <f>IFERROR(BX37/BX$28,0)</f>
        <v>0.2648845686512758</v>
      </c>
      <c r="BZ37" s="7">
        <f>IFERROR(359,0)</f>
        <v>359</v>
      </c>
      <c r="CA37" s="4">
        <f>IFERROR(BZ37/BZ$28,0)</f>
        <v>0.26514032496307238</v>
      </c>
      <c r="CB37" s="7">
        <f>IFERROR(384,0)</f>
        <v>384</v>
      </c>
      <c r="CC37" s="4">
        <f>IFERROR(CB37/CB$28,0)</f>
        <v>0.26501035196687373</v>
      </c>
      <c r="CD37" s="7">
        <f>IFERROR(390,0)</f>
        <v>390</v>
      </c>
      <c r="CE37" s="4">
        <f>IFERROR(CD37/CD$28,0)</f>
        <v>0.26476578411405294</v>
      </c>
      <c r="CF37" s="7">
        <f>IFERROR(347,0)</f>
        <v>347</v>
      </c>
      <c r="CG37" s="4">
        <f>IFERROR(CF37/CF$28,0)</f>
        <v>0.26508785332314744</v>
      </c>
      <c r="CH37" s="7">
        <f>IFERROR(403,0)</f>
        <v>403</v>
      </c>
      <c r="CI37" s="4">
        <f>IFERROR(CH37/CH$28,0)</f>
        <v>0.26495726495726496</v>
      </c>
      <c r="CJ37" s="7">
        <f>IFERROR(383,0)</f>
        <v>383</v>
      </c>
      <c r="CK37" s="4">
        <f>IFERROR(CJ37/CJ$28,0)</f>
        <v>0.26523545706371193</v>
      </c>
      <c r="CL37" s="7">
        <f>IFERROR(389,0)</f>
        <v>389</v>
      </c>
      <c r="CM37" s="4">
        <f>IFERROR(CL37/CL$28,0)</f>
        <v>0.26480599046970726</v>
      </c>
      <c r="CN37" s="7">
        <f>IFERROR(395,0)</f>
        <v>395</v>
      </c>
      <c r="CO37" s="4">
        <f>IFERROR(CN37/CN$28,0)</f>
        <v>0.26492287055667335</v>
      </c>
      <c r="CP37" s="7">
        <f>IFERROR(412,0)</f>
        <v>412</v>
      </c>
      <c r="CQ37" s="4">
        <f>IFERROR(CP37/CP$28,0)</f>
        <v>0.26512226512226511</v>
      </c>
      <c r="CR37" s="7">
        <f>IFERROR(331,0)</f>
        <v>331</v>
      </c>
      <c r="CS37" s="4">
        <f>IFERROR(CR37/CR$28,0)</f>
        <v>0.26479999999999998</v>
      </c>
      <c r="CT37" s="7">
        <f>IFERROR(471,0)</f>
        <v>471</v>
      </c>
      <c r="CU37" s="4">
        <f>IFERROR(CT37/CT$28,0)</f>
        <v>0.26490438695163104</v>
      </c>
      <c r="CV37" s="7">
        <f>IFERROR(402,0)</f>
        <v>402</v>
      </c>
      <c r="CW37" s="4">
        <f>IFERROR(CV37/CV$28,0)</f>
        <v>0.26499670402109426</v>
      </c>
      <c r="CX37" s="7">
        <f>IFERROR(587,0)</f>
        <v>587</v>
      </c>
      <c r="CY37" s="4">
        <f>IFERROR(CX37/CX$28,0)</f>
        <v>0.26501128668171559</v>
      </c>
      <c r="CZ37" s="7">
        <f>IFERROR(474,0)</f>
        <v>474</v>
      </c>
      <c r="DA37" s="4">
        <f>IFERROR(CZ37/CZ$28,0)</f>
        <v>0.26524902070509232</v>
      </c>
      <c r="DB37" s="7">
        <f>IFERROR(371,0)</f>
        <v>371</v>
      </c>
      <c r="DC37" s="4">
        <f>IFERROR(DB37/DB$28,0)</f>
        <v>0.2651894210150107</v>
      </c>
      <c r="DD37" s="7">
        <f>SUM(OSRRefD36_0x_0)</f>
        <v>21895</v>
      </c>
      <c r="DE37" s="4">
        <f>IFERROR(DD37/DD$28,0)</f>
        <v>0.26497960764380546</v>
      </c>
    </row>
    <row r="38" spans="2:110" outlineLevel="1" x14ac:dyDescent="0.25">
      <c r="B38">
        <v>44001</v>
      </c>
      <c r="C38" t="s">
        <v>44</v>
      </c>
      <c r="D38" s="7">
        <f>IFERROR(62,0)</f>
        <v>62</v>
      </c>
      <c r="E38" s="4">
        <f>IFERROR(D38/D$31,0)</f>
        <v>0.2206405693950178</v>
      </c>
      <c r="F38" s="7">
        <f>IFERROR(88,0)</f>
        <v>88</v>
      </c>
      <c r="G38" s="4">
        <f>IFERROR(F38/F$31,0)</f>
        <v>0.22110552763819097</v>
      </c>
      <c r="H38" s="7">
        <f>IFERROR(95,0)</f>
        <v>95</v>
      </c>
      <c r="I38" s="4">
        <f>IFERROR(H38/H$31,0)</f>
        <v>0.22093023255813954</v>
      </c>
      <c r="J38" s="7">
        <f>IFERROR(122,0)</f>
        <v>122</v>
      </c>
      <c r="K38" s="4">
        <f>IFERROR(J38/J$31,0)</f>
        <v>0.21942446043165467</v>
      </c>
      <c r="L38" s="7">
        <f>IFERROR(73,0)</f>
        <v>73</v>
      </c>
      <c r="M38" s="4">
        <f>IFERROR(L38/L$31,0)</f>
        <v>0.22121212121212122</v>
      </c>
      <c r="N38" s="7">
        <f>IFERROR(85,0)</f>
        <v>85</v>
      </c>
      <c r="O38" s="4">
        <f>IFERROR(N38/N$31,0)</f>
        <v>0.22077922077922077</v>
      </c>
      <c r="P38" s="7">
        <f>IFERROR(153,0)</f>
        <v>153</v>
      </c>
      <c r="Q38" s="4">
        <f>IFERROR(P38/P$31,0)</f>
        <v>0.21951219512195122</v>
      </c>
      <c r="R38" s="7">
        <f>IFERROR(111,0)</f>
        <v>111</v>
      </c>
      <c r="S38" s="4">
        <f>IFERROR(R38/R$31,0)</f>
        <v>0.22023809523809523</v>
      </c>
      <c r="T38" s="7">
        <f>IFERROR(126,0)</f>
        <v>126</v>
      </c>
      <c r="U38" s="4">
        <f>IFERROR(T38/T$31,0)</f>
        <v>0.22066549912434325</v>
      </c>
      <c r="V38" s="7">
        <f>IFERROR(118,0)</f>
        <v>118</v>
      </c>
      <c r="W38" s="4">
        <f>IFERROR(V38/V$31,0)</f>
        <v>0.22056074766355141</v>
      </c>
      <c r="X38" s="7">
        <f>IFERROR(121,0)</f>
        <v>121</v>
      </c>
      <c r="Y38" s="4">
        <f>IFERROR(X38/X$31,0)</f>
        <v>0.22040072859744991</v>
      </c>
      <c r="Z38" s="7">
        <f>IFERROR(124,0)</f>
        <v>124</v>
      </c>
      <c r="AA38" s="4">
        <f>IFERROR(Z38/Z$31,0)</f>
        <v>0.21946902654867256</v>
      </c>
      <c r="AB38" s="7">
        <f>IFERROR(159,0)</f>
        <v>159</v>
      </c>
      <c r="AC38" s="4">
        <f>IFERROR(AB38/AB$31,0)</f>
        <v>0.21991701244813278</v>
      </c>
      <c r="AD38" s="7">
        <f>IFERROR(144,0)</f>
        <v>144</v>
      </c>
      <c r="AE38" s="4">
        <f>IFERROR(AD38/AD$31,0)</f>
        <v>0.2198473282442748</v>
      </c>
      <c r="AF38" s="7">
        <f>IFERROR(99,0)</f>
        <v>99</v>
      </c>
      <c r="AG38" s="4">
        <f>IFERROR(AF38/AF$31,0)</f>
        <v>0.21902654867256638</v>
      </c>
      <c r="AH38" s="7">
        <f>IFERROR(127,0)</f>
        <v>127</v>
      </c>
      <c r="AI38" s="4">
        <f>IFERROR(AH38/AH$31,0)</f>
        <v>0.21972318339100347</v>
      </c>
      <c r="AJ38" s="7">
        <f>IFERROR(126,0)</f>
        <v>126</v>
      </c>
      <c r="AK38" s="4">
        <f>IFERROR(AJ38/AJ$31,0)</f>
        <v>0.22027972027972029</v>
      </c>
      <c r="AL38" s="7">
        <f>IFERROR(119,0)</f>
        <v>119</v>
      </c>
      <c r="AM38" s="4">
        <f>IFERROR(AL38/AL$31,0)</f>
        <v>0.22037037037037038</v>
      </c>
      <c r="AN38" s="7">
        <f>IFERROR(192,0)</f>
        <v>192</v>
      </c>
      <c r="AO38" s="4">
        <f>IFERROR(AN38/AN$31,0)</f>
        <v>0.22018348623853212</v>
      </c>
      <c r="AP38" s="7">
        <f>IFERROR(163,0)</f>
        <v>163</v>
      </c>
      <c r="AQ38" s="4">
        <f>IFERROR(AP38/AP$31,0)</f>
        <v>0.21938088829071331</v>
      </c>
      <c r="AR38" s="7">
        <f>IFERROR(118,0)</f>
        <v>118</v>
      </c>
      <c r="AS38" s="4">
        <f>IFERROR(AR38/AR$31,0)</f>
        <v>0.22014925373134328</v>
      </c>
      <c r="AT38" s="7">
        <f>IFERROR(119,0)</f>
        <v>119</v>
      </c>
      <c r="AU38" s="4">
        <f>IFERROR(AT38/AT$31,0)</f>
        <v>0.22077922077922077</v>
      </c>
      <c r="AV38" s="7">
        <f>IFERROR(165,0)</f>
        <v>165</v>
      </c>
      <c r="AW38" s="4">
        <f>IFERROR(AV38/AV$31,0)</f>
        <v>0.22029372496662217</v>
      </c>
      <c r="AX38" s="7">
        <f>IFERROR(161,0)</f>
        <v>161</v>
      </c>
      <c r="AY38" s="4">
        <f>IFERROR(AX38/AX$31,0)</f>
        <v>0.21994535519125682</v>
      </c>
      <c r="AZ38" s="7">
        <f>IFERROR(84,0)</f>
        <v>84</v>
      </c>
      <c r="BA38" s="4">
        <f>IFERROR(AZ38/AZ$31,0)</f>
        <v>0.21875</v>
      </c>
      <c r="BB38" s="7">
        <f>IFERROR(68,0)</f>
        <v>68</v>
      </c>
      <c r="BC38" s="4">
        <f>IFERROR(BB38/BB$31,0)</f>
        <v>0.22077922077922077</v>
      </c>
      <c r="BD38" s="7">
        <f>IFERROR(91,0)</f>
        <v>91</v>
      </c>
      <c r="BE38" s="4">
        <f>IFERROR(BD38/BD$31,0)</f>
        <v>0.21927710843373494</v>
      </c>
      <c r="BF38" s="7">
        <f>IFERROR(87,0)</f>
        <v>87</v>
      </c>
      <c r="BG38" s="4">
        <f>IFERROR(BF38/BF$31,0)</f>
        <v>0.22081218274111675</v>
      </c>
      <c r="BH38" s="7">
        <f>IFERROR(58,0)</f>
        <v>58</v>
      </c>
      <c r="BI38" s="4">
        <f>IFERROR(BH38/BH$31,0)</f>
        <v>0.21886792452830189</v>
      </c>
      <c r="BJ38" s="7">
        <f>IFERROR(103,0)</f>
        <v>103</v>
      </c>
      <c r="BK38" s="4">
        <f>IFERROR(BJ38/BJ$31,0)</f>
        <v>0.22008547008547008</v>
      </c>
      <c r="BL38" s="7">
        <f>IFERROR(79,0)</f>
        <v>79</v>
      </c>
      <c r="BM38" s="4">
        <f>IFERROR(BL38/BL$31,0)</f>
        <v>0.21944444444444444</v>
      </c>
      <c r="BN38" s="7">
        <f>IFERROR(59,0)</f>
        <v>59</v>
      </c>
      <c r="BO38" s="4">
        <f>IFERROR(BN38/BN$31,0)</f>
        <v>0.22014925373134328</v>
      </c>
      <c r="BP38" s="7">
        <f>IFERROR(103,0)</f>
        <v>103</v>
      </c>
      <c r="BQ38" s="4">
        <f>IFERROR(BP38/BP$31,0)</f>
        <v>0.21961620469083157</v>
      </c>
      <c r="BR38" s="7">
        <f>IFERROR(84,0)</f>
        <v>84</v>
      </c>
      <c r="BS38" s="4">
        <f>IFERROR(BR38/BR$31,0)</f>
        <v>0.21989528795811519</v>
      </c>
      <c r="BT38" s="7">
        <f>IFERROR(68,0)</f>
        <v>68</v>
      </c>
      <c r="BU38" s="4">
        <f>IFERROR(BT38/BT$31,0)</f>
        <v>0.21935483870967742</v>
      </c>
      <c r="BV38" s="7">
        <f>IFERROR(50,0)</f>
        <v>50</v>
      </c>
      <c r="BW38" s="4">
        <f>IFERROR(BV38/BV$31,0)</f>
        <v>0.22026431718061673</v>
      </c>
      <c r="BX38" s="7">
        <f>IFERROR(51,0)</f>
        <v>51</v>
      </c>
      <c r="BY38" s="4">
        <f>IFERROR(BX38/BX$31,0)</f>
        <v>0.22173913043478261</v>
      </c>
      <c r="BZ38" s="7">
        <f>IFERROR(51,0)</f>
        <v>51</v>
      </c>
      <c r="CA38" s="4">
        <f>IFERROR(BZ38/BZ$31,0)</f>
        <v>0.21888412017167383</v>
      </c>
      <c r="CB38" s="7">
        <f>IFERROR(85,0)</f>
        <v>85</v>
      </c>
      <c r="CC38" s="4">
        <f>IFERROR(CB38/CB$31,0)</f>
        <v>0.21963824289405684</v>
      </c>
      <c r="CD38" s="7">
        <f>IFERROR(112,0)</f>
        <v>112</v>
      </c>
      <c r="CE38" s="4">
        <f>IFERROR(CD38/CD$31,0)</f>
        <v>0.22047244094488189</v>
      </c>
      <c r="CF38" s="7">
        <f>IFERROR(68,0)</f>
        <v>68</v>
      </c>
      <c r="CG38" s="4">
        <f>IFERROR(CF38/CF$31,0)</f>
        <v>0.21864951768488747</v>
      </c>
      <c r="CH38" s="7">
        <f>IFERROR(81,0)</f>
        <v>81</v>
      </c>
      <c r="CI38" s="4">
        <f>IFERROR(CH38/CH$31,0)</f>
        <v>0.21891891891891893</v>
      </c>
      <c r="CJ38" s="7">
        <f>IFERROR(125,0)</f>
        <v>125</v>
      </c>
      <c r="CK38" s="4">
        <f>IFERROR(CJ38/CJ$31,0)</f>
        <v>0.22007042253521128</v>
      </c>
      <c r="CL38" s="7">
        <f>IFERROR(133,0)</f>
        <v>133</v>
      </c>
      <c r="CM38" s="4">
        <f>IFERROR(CL38/CL$31,0)</f>
        <v>0.22056384742951907</v>
      </c>
      <c r="CN38" s="7">
        <f>IFERROR(94,0)</f>
        <v>94</v>
      </c>
      <c r="CO38" s="4">
        <f>IFERROR(CN38/CN$31,0)</f>
        <v>0.21962616822429906</v>
      </c>
      <c r="CP38" s="7">
        <f>IFERROR(118,0)</f>
        <v>118</v>
      </c>
      <c r="CQ38" s="4">
        <f>IFERROR(CP38/CP$31,0)</f>
        <v>0.21973929236499068</v>
      </c>
      <c r="CR38" s="7">
        <f>IFERROR(83,0)</f>
        <v>83</v>
      </c>
      <c r="CS38" s="4">
        <f>IFERROR(CR38/CR$31,0)</f>
        <v>0.21899736147757257</v>
      </c>
      <c r="CT38" s="7">
        <f>IFERROR(97,0)</f>
        <v>97</v>
      </c>
      <c r="CU38" s="4">
        <f>IFERROR(CT38/CT$31,0)</f>
        <v>0.22045454545454546</v>
      </c>
      <c r="CV38" s="7">
        <f>IFERROR(152,0)</f>
        <v>152</v>
      </c>
      <c r="CW38" s="4">
        <f>IFERROR(CV38/CV$31,0)</f>
        <v>0.22060957910014514</v>
      </c>
      <c r="CX38" s="7">
        <f>IFERROR(93,0)</f>
        <v>93</v>
      </c>
      <c r="CY38" s="4">
        <f>IFERROR(CX38/CX$31,0)</f>
        <v>0.21985815602836881</v>
      </c>
      <c r="CZ38" s="7">
        <f>IFERROR(123,0)</f>
        <v>123</v>
      </c>
      <c r="DA38" s="4">
        <f>IFERROR(CZ38/CZ$31,0)</f>
        <v>0.22003577817531306</v>
      </c>
      <c r="DB38" s="7">
        <f>IFERROR(132,0)</f>
        <v>132</v>
      </c>
      <c r="DC38" s="4">
        <f>IFERROR(DB38/DB$31,0)</f>
        <v>0.21926910299003322</v>
      </c>
      <c r="DD38" s="7">
        <f>SUM(OSRRefD37_0x_0)</f>
        <v>5502</v>
      </c>
      <c r="DE38" s="4">
        <f>IFERROR(DD38/DD$31,0)</f>
        <v>0.22000079971210365</v>
      </c>
    </row>
    <row r="39" spans="2:110" ht="7.5" customHeight="1" x14ac:dyDescent="0.25">
      <c r="D39" s="7"/>
      <c r="E39" s="6"/>
      <c r="F39" s="7"/>
      <c r="G39" s="6"/>
      <c r="H39" s="7"/>
      <c r="I39" s="6"/>
      <c r="J39" s="7"/>
      <c r="K39" s="6"/>
      <c r="L39" s="7"/>
      <c r="M39" s="6"/>
      <c r="N39" s="7"/>
      <c r="O39" s="6"/>
      <c r="P39" s="7"/>
      <c r="Q39" s="6"/>
      <c r="R39" s="7"/>
      <c r="S39" s="6"/>
      <c r="T39" s="7"/>
      <c r="U39" s="6"/>
      <c r="V39" s="7"/>
      <c r="W39" s="6"/>
      <c r="X39" s="7"/>
      <c r="Y39" s="6"/>
      <c r="Z39" s="7"/>
      <c r="AA39" s="6"/>
      <c r="AB39" s="7"/>
      <c r="AC39" s="6"/>
      <c r="AD39" s="7"/>
      <c r="AE39" s="6"/>
      <c r="AF39" s="7"/>
      <c r="AG39" s="6"/>
      <c r="AH39" s="7"/>
      <c r="AI39" s="6"/>
      <c r="AJ39" s="7"/>
      <c r="AK39" s="6"/>
      <c r="AL39" s="7"/>
      <c r="AM39" s="6"/>
      <c r="AN39" s="7"/>
      <c r="AO39" s="6"/>
      <c r="AP39" s="7"/>
      <c r="AQ39" s="6"/>
      <c r="AR39" s="7"/>
      <c r="AS39" s="6"/>
      <c r="AT39" s="7"/>
      <c r="AU39" s="6"/>
      <c r="AV39" s="7"/>
      <c r="AW39" s="6"/>
      <c r="AX39" s="7"/>
      <c r="AY39" s="6"/>
      <c r="AZ39" s="7"/>
      <c r="BA39" s="6"/>
      <c r="BB39" s="7"/>
      <c r="BC39" s="6"/>
      <c r="BD39" s="7"/>
      <c r="BE39" s="6"/>
      <c r="BF39" s="7"/>
      <c r="BG39" s="6"/>
      <c r="BH39" s="7"/>
      <c r="BI39" s="6"/>
      <c r="BJ39" s="7"/>
      <c r="BK39" s="6"/>
      <c r="BL39" s="7"/>
      <c r="BM39" s="6"/>
      <c r="BN39" s="7"/>
      <c r="BO39" s="6"/>
      <c r="BP39" s="7"/>
      <c r="BQ39" s="6"/>
      <c r="BR39" s="7"/>
      <c r="BS39" s="6"/>
      <c r="BT39" s="7"/>
      <c r="BU39" s="6"/>
      <c r="BV39" s="7"/>
      <c r="BW39" s="6"/>
      <c r="BX39" s="7"/>
      <c r="BY39" s="6"/>
      <c r="BZ39" s="7"/>
      <c r="CA39" s="6"/>
      <c r="CB39" s="7"/>
      <c r="CC39" s="6"/>
      <c r="CD39" s="7"/>
      <c r="CE39" s="6"/>
      <c r="CF39" s="7"/>
      <c r="CG39" s="6"/>
      <c r="CH39" s="7"/>
      <c r="CI39" s="6"/>
      <c r="CJ39" s="7"/>
      <c r="CK39" s="6"/>
      <c r="CL39" s="7"/>
      <c r="CM39" s="6"/>
      <c r="CN39" s="7"/>
      <c r="CO39" s="6"/>
      <c r="CP39" s="7"/>
      <c r="CQ39" s="6"/>
      <c r="CR39" s="7"/>
      <c r="CS39" s="6"/>
      <c r="CT39" s="7"/>
      <c r="CU39" s="6"/>
      <c r="CV39" s="7"/>
      <c r="CW39" s="6"/>
      <c r="CX39" s="7"/>
      <c r="CY39" s="6"/>
      <c r="CZ39" s="7"/>
      <c r="DA39" s="6"/>
      <c r="DB39" s="7"/>
      <c r="DC39" s="6"/>
      <c r="DD39" s="7"/>
      <c r="DE39" s="6"/>
    </row>
    <row r="40" spans="2:110" x14ac:dyDescent="0.25">
      <c r="B40" s="30"/>
      <c r="C40" s="32" t="s">
        <v>6</v>
      </c>
      <c r="D40" s="3">
        <f>SUM(D35:D39)</f>
        <v>1944</v>
      </c>
      <c r="E40" s="1">
        <f>IFERROR(D40/D$33,0)</f>
        <v>0.25871706148522755</v>
      </c>
      <c r="F40" s="3">
        <f>SUM(F35:F39)</f>
        <v>1902</v>
      </c>
      <c r="G40" s="1">
        <f>IFERROR(F40/F$33,0)</f>
        <v>0.25789830508474576</v>
      </c>
      <c r="H40" s="3">
        <f>SUM(H35:H39)</f>
        <v>1922</v>
      </c>
      <c r="I40" s="1">
        <f>IFERROR(H40/H$33,0)</f>
        <v>0.25781354795439304</v>
      </c>
      <c r="J40" s="3">
        <f>SUM(J35:J39)</f>
        <v>2137</v>
      </c>
      <c r="K40" s="1">
        <f>IFERROR(J40/J$33,0)</f>
        <v>0.25746987951807226</v>
      </c>
      <c r="L40" s="3">
        <f>SUM(L35:L39)</f>
        <v>2129</v>
      </c>
      <c r="M40" s="1">
        <f>IFERROR(L40/L$33,0)</f>
        <v>0.25856205975224678</v>
      </c>
      <c r="N40" s="3">
        <f>SUM(N35:N39)</f>
        <v>1959</v>
      </c>
      <c r="O40" s="1">
        <f>IFERROR(N40/N$33,0)</f>
        <v>0.25817079599367421</v>
      </c>
      <c r="P40" s="3">
        <f>SUM(P35:P39)</f>
        <v>2830</v>
      </c>
      <c r="Q40" s="1">
        <f>IFERROR(P40/P$33,0)</f>
        <v>0.25738972260118237</v>
      </c>
      <c r="R40" s="3">
        <f>SUM(R35:R39)</f>
        <v>2741</v>
      </c>
      <c r="S40" s="1">
        <f>IFERROR(R40/R$33,0)</f>
        <v>0.2581708580578318</v>
      </c>
      <c r="T40" s="3">
        <f>SUM(T35:T39)</f>
        <v>2660</v>
      </c>
      <c r="U40" s="1">
        <f>IFERROR(T40/T$33,0)</f>
        <v>0.25802696672810166</v>
      </c>
      <c r="V40" s="3">
        <f>SUM(V35:V39)</f>
        <v>2772</v>
      </c>
      <c r="W40" s="1">
        <f>IFERROR(V40/V$33,0)</f>
        <v>0.25826889033820927</v>
      </c>
      <c r="X40" s="3">
        <f>SUM(X35:X39)</f>
        <v>2889</v>
      </c>
      <c r="Y40" s="1">
        <f>IFERROR(X40/X$33,0)</f>
        <v>0.25829235583370586</v>
      </c>
      <c r="Z40" s="3">
        <f>SUM(Z35:Z39)</f>
        <v>2557</v>
      </c>
      <c r="AA40" s="1">
        <f>IFERROR(Z40/Z$33,0)</f>
        <v>0.25799616587629909</v>
      </c>
      <c r="AB40" s="3">
        <f>SUM(AB35:AB39)</f>
        <v>2479</v>
      </c>
      <c r="AC40" s="1">
        <f>IFERROR(AB40/AB$33,0)</f>
        <v>0.25713100300798675</v>
      </c>
      <c r="AD40" s="3">
        <f>SUM(AD35:AD39)</f>
        <v>2466</v>
      </c>
      <c r="AE40" s="1">
        <f>IFERROR(AD40/AD$33,0)</f>
        <v>0.25741127348643006</v>
      </c>
      <c r="AF40" s="3">
        <f>SUM(AF35:AF39)</f>
        <v>2674</v>
      </c>
      <c r="AG40" s="1">
        <f>IFERROR(AF40/AF$33,0)</f>
        <v>0.2583574879227053</v>
      </c>
      <c r="AH40" s="3">
        <f>SUM(AH35:AH39)</f>
        <v>2168</v>
      </c>
      <c r="AI40" s="1">
        <f>IFERROR(AH40/AH$33,0)</f>
        <v>0.25729883693330169</v>
      </c>
      <c r="AJ40" s="3">
        <f>SUM(AJ35:AJ39)</f>
        <v>2270</v>
      </c>
      <c r="AK40" s="1">
        <f>IFERROR(AJ40/AJ$33,0)</f>
        <v>0.2576032682705402</v>
      </c>
      <c r="AL40" s="3">
        <f>SUM(AL35:AL39)</f>
        <v>2162</v>
      </c>
      <c r="AM40" s="1">
        <f>IFERROR(AL40/AL$33,0)</f>
        <v>0.25771844081535344</v>
      </c>
      <c r="AN40" s="3">
        <f>SUM(AN35:AN39)</f>
        <v>2350</v>
      </c>
      <c r="AO40" s="1">
        <f>IFERROR(AN40/AN$33,0)</f>
        <v>0.25643823657791359</v>
      </c>
      <c r="AP40" s="3">
        <f>SUM(AP35:AP39)</f>
        <v>2539</v>
      </c>
      <c r="AQ40" s="1">
        <f>IFERROR(AP40/AP$33,0)</f>
        <v>0.25727024014591143</v>
      </c>
      <c r="AR40" s="3">
        <f>SUM(AR35:AR39)</f>
        <v>2401</v>
      </c>
      <c r="AS40" s="1">
        <f>IFERROR(AR40/AR$33,0)</f>
        <v>0.25772863890081582</v>
      </c>
      <c r="AT40" s="3">
        <f>SUM(AT35:AT39)</f>
        <v>2331</v>
      </c>
      <c r="AU40" s="1">
        <f>IFERROR(AT40/AT$33,0)</f>
        <v>0.25788250912711586</v>
      </c>
      <c r="AV40" s="3">
        <f>SUM(AV35:AV39)</f>
        <v>2140</v>
      </c>
      <c r="AW40" s="1">
        <f>IFERROR(AV40/AV$33,0)</f>
        <v>0.25677945764338855</v>
      </c>
      <c r="AX40" s="3">
        <f>SUM(AX35:AX39)</f>
        <v>2589</v>
      </c>
      <c r="AY40" s="1">
        <f>IFERROR(AX40/AX$33,0)</f>
        <v>0.2572280178837556</v>
      </c>
      <c r="AZ40" s="3">
        <f>SUM(AZ35:AZ39)</f>
        <v>2186</v>
      </c>
      <c r="BA40" s="1">
        <f>IFERROR(AZ40/AZ$33,0)</f>
        <v>0.25823981098641463</v>
      </c>
      <c r="BB40" s="3">
        <f>SUM(BB35:BB39)</f>
        <v>2252</v>
      </c>
      <c r="BC40" s="1">
        <f>IFERROR(BB40/BB$33,0)</f>
        <v>0.25846436359462871</v>
      </c>
      <c r="BD40" s="3">
        <f>SUM(BD35:BD39)</f>
        <v>1893</v>
      </c>
      <c r="BE40" s="1">
        <f>IFERROR(BD40/BD$33,0)</f>
        <v>0.25797219950940309</v>
      </c>
      <c r="BF40" s="3">
        <f>SUM(BF35:BF39)</f>
        <v>1839</v>
      </c>
      <c r="BG40" s="1">
        <f>IFERROR(BF40/BF$33,0)</f>
        <v>0.25785193494111047</v>
      </c>
      <c r="BH40" s="3">
        <f>SUM(BH35:BH39)</f>
        <v>1842</v>
      </c>
      <c r="BI40" s="1">
        <f>IFERROR(BH40/BH$33,0)</f>
        <v>0.25856260527793373</v>
      </c>
      <c r="BJ40" s="3">
        <f>SUM(BJ35:BJ39)</f>
        <v>1854</v>
      </c>
      <c r="BK40" s="1">
        <f>IFERROR(BJ40/BJ$33,0)</f>
        <v>0.25742849208553181</v>
      </c>
      <c r="BL40" s="3">
        <f>SUM(BL35:BL39)</f>
        <v>1923</v>
      </c>
      <c r="BM40" s="1">
        <f>IFERROR(BL40/BL$33,0)</f>
        <v>0.25801690594391519</v>
      </c>
      <c r="BN40" s="3">
        <f>SUM(BN35:BN39)</f>
        <v>2260</v>
      </c>
      <c r="BO40" s="1">
        <f>IFERROR(BN40/BN$33,0)</f>
        <v>0.2588181401740724</v>
      </c>
      <c r="BP40" s="3">
        <f>SUM(BP35:BP39)</f>
        <v>1884</v>
      </c>
      <c r="BQ40" s="1">
        <f>IFERROR(BP40/BP$33,0)</f>
        <v>0.25797617417499658</v>
      </c>
      <c r="BR40" s="3">
        <f>SUM(BR35:BR39)</f>
        <v>1725</v>
      </c>
      <c r="BS40" s="1">
        <f>IFERROR(BR40/BR$33,0)</f>
        <v>0.25796321220278151</v>
      </c>
      <c r="BT40" s="3">
        <f>SUM(BT35:BT39)</f>
        <v>2091</v>
      </c>
      <c r="BU40" s="1">
        <f>IFERROR(BT40/BT$33,0)</f>
        <v>0.25856312600469888</v>
      </c>
      <c r="BV40" s="3">
        <f>SUM(BV35:BV39)</f>
        <v>1696</v>
      </c>
      <c r="BW40" s="1">
        <f>IFERROR(BV40/BV$33,0)</f>
        <v>0.25885225885225888</v>
      </c>
      <c r="BX40" s="3">
        <f>SUM(BX35:BX39)</f>
        <v>2025</v>
      </c>
      <c r="BY40" s="1">
        <f>IFERROR(BX40/BX$33,0)</f>
        <v>0.25918341226161523</v>
      </c>
      <c r="BZ40" s="3">
        <f>SUM(BZ35:BZ39)</f>
        <v>1849</v>
      </c>
      <c r="CA40" s="1">
        <f>IFERROR(BZ40/BZ$33,0)</f>
        <v>0.25889106692803138</v>
      </c>
      <c r="CB40" s="3">
        <f>SUM(CB35:CB39)</f>
        <v>2071</v>
      </c>
      <c r="CC40" s="1">
        <f>IFERROR(CB40/CB$33,0)</f>
        <v>0.25813286800448709</v>
      </c>
      <c r="CD40" s="3">
        <f>SUM(CD35:CD39)</f>
        <v>1980</v>
      </c>
      <c r="CE40" s="1">
        <f>IFERROR(CD40/CD$33,0)</f>
        <v>0.25757772863275658</v>
      </c>
      <c r="CF40" s="3">
        <f>SUM(CF35:CF39)</f>
        <v>1801</v>
      </c>
      <c r="CG40" s="1">
        <f>IFERROR(CF40/CF$33,0)</f>
        <v>0.25831899024670107</v>
      </c>
      <c r="CH40" s="3">
        <f>SUM(CH35:CH39)</f>
        <v>2060</v>
      </c>
      <c r="CI40" s="1">
        <f>IFERROR(CH40/CH$33,0)</f>
        <v>0.25824244703522625</v>
      </c>
      <c r="CJ40" s="3">
        <f>SUM(CJ35:CJ39)</f>
        <v>2122</v>
      </c>
      <c r="CK40" s="1">
        <f>IFERROR(CJ40/CJ$33,0)</f>
        <v>0.25739932071809801</v>
      </c>
      <c r="CL40" s="3">
        <f>SUM(CL35:CL39)</f>
        <v>2284</v>
      </c>
      <c r="CM40" s="1">
        <f>IFERROR(CL40/CL$33,0)</f>
        <v>0.25732311852185669</v>
      </c>
      <c r="CN40" s="3">
        <f>SUM(CN35:CN39)</f>
        <v>2123</v>
      </c>
      <c r="CO40" s="1">
        <f>IFERROR(CN40/CN$33,0)</f>
        <v>0.25802139037433153</v>
      </c>
      <c r="CP40" s="3">
        <f>SUM(CP35:CP39)</f>
        <v>2296</v>
      </c>
      <c r="CQ40" s="1">
        <f>IFERROR(CP40/CP$33,0)</f>
        <v>0.25774584643017512</v>
      </c>
      <c r="CR40" s="3">
        <f>SUM(CR35:CR39)</f>
        <v>1738</v>
      </c>
      <c r="CS40" s="1">
        <f>IFERROR(CR40/CR$33,0)</f>
        <v>0.25786350148367954</v>
      </c>
      <c r="CT40" s="3">
        <f>SUM(CT35:CT39)</f>
        <v>2112</v>
      </c>
      <c r="CU40" s="1">
        <f>IFERROR(CT40/CT$33,0)</f>
        <v>0.25815914924825817</v>
      </c>
      <c r="CV40" s="3">
        <f>SUM(CV35:CV39)</f>
        <v>1928</v>
      </c>
      <c r="CW40" s="1">
        <f>IFERROR(CV40/CV$33,0)</f>
        <v>0.25672436750998667</v>
      </c>
      <c r="CX40" s="3">
        <f>SUM(CX35:CX39)</f>
        <v>2481</v>
      </c>
      <c r="CY40" s="1">
        <f>IFERROR(CX40/CX$33,0)</f>
        <v>0.25873396600271142</v>
      </c>
      <c r="CZ40" s="3">
        <f>SUM(CZ35:CZ39)</f>
        <v>2236</v>
      </c>
      <c r="DA40" s="1">
        <f>IFERROR(CZ40/CZ$33,0)</f>
        <v>0.25775216138328533</v>
      </c>
      <c r="DB40" s="3">
        <f>SUM(DB35:DB39)</f>
        <v>2071</v>
      </c>
      <c r="DC40" s="1">
        <f>IFERROR(DB40/DB$33,0)</f>
        <v>0.25710738671632527</v>
      </c>
      <c r="DD40" s="3">
        <f>SUM(OSRRefD39x_0)</f>
        <v>113633</v>
      </c>
      <c r="DE40" s="1">
        <f>IFERROR(DD40/DD$33,0)</f>
        <v>0.2578998613282979</v>
      </c>
      <c r="DF40" s="28"/>
    </row>
    <row r="41" spans="2:110" x14ac:dyDescent="0.25">
      <c r="B41" s="29"/>
      <c r="D41" s="7"/>
      <c r="E41" s="6"/>
      <c r="F41" s="7"/>
      <c r="G41" s="6"/>
      <c r="H41" s="7"/>
      <c r="I41" s="6"/>
      <c r="J41" s="7"/>
      <c r="K41" s="6"/>
      <c r="L41" s="7"/>
      <c r="M41" s="6"/>
      <c r="N41" s="7"/>
      <c r="O41" s="6"/>
      <c r="P41" s="7"/>
      <c r="Q41" s="6"/>
      <c r="R41" s="7"/>
      <c r="S41" s="6"/>
      <c r="T41" s="7"/>
      <c r="U41" s="6"/>
      <c r="V41" s="7"/>
      <c r="W41" s="6"/>
      <c r="X41" s="7"/>
      <c r="Y41" s="6"/>
      <c r="Z41" s="7"/>
      <c r="AA41" s="6"/>
      <c r="AB41" s="7"/>
      <c r="AC41" s="6"/>
      <c r="AD41" s="7"/>
      <c r="AE41" s="6"/>
      <c r="AF41" s="7"/>
      <c r="AG41" s="6"/>
      <c r="AH41" s="7"/>
      <c r="AI41" s="6"/>
      <c r="AJ41" s="7"/>
      <c r="AK41" s="6"/>
      <c r="AL41" s="7"/>
      <c r="AM41" s="6"/>
      <c r="AN41" s="7"/>
      <c r="AO41" s="6"/>
      <c r="AP41" s="7"/>
      <c r="AQ41" s="6"/>
      <c r="AR41" s="7"/>
      <c r="AS41" s="6"/>
      <c r="AT41" s="7"/>
      <c r="AU41" s="6"/>
      <c r="AV41" s="7"/>
      <c r="AW41" s="6"/>
      <c r="AX41" s="7"/>
      <c r="AY41" s="6"/>
      <c r="AZ41" s="7"/>
      <c r="BA41" s="6"/>
      <c r="BB41" s="7"/>
      <c r="BC41" s="6"/>
      <c r="BD41" s="7"/>
      <c r="BE41" s="6"/>
      <c r="BF41" s="7"/>
      <c r="BG41" s="6"/>
      <c r="BH41" s="7"/>
      <c r="BI41" s="6"/>
      <c r="BJ41" s="7"/>
      <c r="BK41" s="6"/>
      <c r="BL41" s="7"/>
      <c r="BM41" s="6"/>
      <c r="BN41" s="7"/>
      <c r="BO41" s="6"/>
      <c r="BP41" s="7"/>
      <c r="BQ41" s="6"/>
      <c r="BR41" s="7"/>
      <c r="BS41" s="6"/>
      <c r="BT41" s="7"/>
      <c r="BU41" s="6"/>
      <c r="BV41" s="7"/>
      <c r="BW41" s="6"/>
      <c r="BX41" s="7"/>
      <c r="BY41" s="6"/>
      <c r="BZ41" s="7"/>
      <c r="CA41" s="6"/>
      <c r="CB41" s="7"/>
      <c r="CC41" s="6"/>
      <c r="CD41" s="7"/>
      <c r="CE41" s="6"/>
      <c r="CF41" s="7"/>
      <c r="CG41" s="6"/>
      <c r="CH41" s="7"/>
      <c r="CI41" s="6"/>
      <c r="CJ41" s="7"/>
      <c r="CK41" s="6"/>
      <c r="CL41" s="7"/>
      <c r="CM41" s="6"/>
      <c r="CN41" s="7"/>
      <c r="CO41" s="6"/>
      <c r="CP41" s="7"/>
      <c r="CQ41" s="6"/>
      <c r="CR41" s="7"/>
      <c r="CS41" s="6"/>
      <c r="CT41" s="7"/>
      <c r="CU41" s="6"/>
      <c r="CV41" s="7"/>
      <c r="CW41" s="6"/>
      <c r="CX41" s="7"/>
      <c r="CY41" s="6"/>
      <c r="CZ41" s="7"/>
      <c r="DA41" s="6"/>
      <c r="DB41" s="7"/>
      <c r="DC41" s="6"/>
      <c r="DD41" s="7"/>
      <c r="DE41" s="6"/>
    </row>
    <row r="42" spans="2:110" x14ac:dyDescent="0.25">
      <c r="B42" s="29"/>
      <c r="C42" s="40" t="s">
        <v>7</v>
      </c>
      <c r="D42" s="15">
        <f>D33-D40</f>
        <v>5570</v>
      </c>
      <c r="E42" s="1">
        <f>IFERROR(D42/D$33,0)</f>
        <v>0.74128293851477245</v>
      </c>
      <c r="F42" s="15">
        <f>F33-F40</f>
        <v>5473</v>
      </c>
      <c r="G42" s="1">
        <f>IFERROR(F42/F$33,0)</f>
        <v>0.74210169491525424</v>
      </c>
      <c r="H42" s="15">
        <f>H33-H40</f>
        <v>5533</v>
      </c>
      <c r="I42" s="1">
        <f>IFERROR(H42/H$33,0)</f>
        <v>0.74218645204560696</v>
      </c>
      <c r="J42" s="15">
        <f>J33-J40</f>
        <v>6163</v>
      </c>
      <c r="K42" s="1">
        <f>IFERROR(J42/J$33,0)</f>
        <v>0.74253012048192768</v>
      </c>
      <c r="L42" s="15">
        <f>L33-L40</f>
        <v>6105</v>
      </c>
      <c r="M42" s="1">
        <f>IFERROR(L42/L$33,0)</f>
        <v>0.74143794024775322</v>
      </c>
      <c r="N42" s="15">
        <f>N33-N40</f>
        <v>5629</v>
      </c>
      <c r="O42" s="1">
        <f>IFERROR(N42/N$33,0)</f>
        <v>0.74182920400632579</v>
      </c>
      <c r="P42" s="15">
        <f>P33-P40</f>
        <v>8165</v>
      </c>
      <c r="Q42" s="1">
        <f>IFERROR(P42/P$33,0)</f>
        <v>0.74261027739881769</v>
      </c>
      <c r="R42" s="15">
        <f>R33-R40</f>
        <v>7876</v>
      </c>
      <c r="S42" s="1">
        <f>IFERROR(R42/R$33,0)</f>
        <v>0.7418291419421682</v>
      </c>
      <c r="T42" s="15">
        <f>T33-T40</f>
        <v>7649</v>
      </c>
      <c r="U42" s="1">
        <f>IFERROR(T42/T$33,0)</f>
        <v>0.74197303327189834</v>
      </c>
      <c r="V42" s="15">
        <f>V33-V40</f>
        <v>7961</v>
      </c>
      <c r="W42" s="1">
        <f>IFERROR(V42/V$33,0)</f>
        <v>0.74173110966179079</v>
      </c>
      <c r="X42" s="15">
        <f>X33-X40</f>
        <v>8296</v>
      </c>
      <c r="Y42" s="1">
        <f>IFERROR(X42/X$33,0)</f>
        <v>0.74170764416629409</v>
      </c>
      <c r="Z42" s="15">
        <f>Z33-Z40</f>
        <v>7354</v>
      </c>
      <c r="AA42" s="1">
        <f>IFERROR(Z42/Z$33,0)</f>
        <v>0.74200383412370097</v>
      </c>
      <c r="AB42" s="15">
        <f>AB33-AB40</f>
        <v>7162</v>
      </c>
      <c r="AC42" s="1">
        <f>IFERROR(AB42/AB$33,0)</f>
        <v>0.74286899699201325</v>
      </c>
      <c r="AD42" s="15">
        <f>AD33-AD40</f>
        <v>7114</v>
      </c>
      <c r="AE42" s="1">
        <f>IFERROR(AD42/AD$33,0)</f>
        <v>0.74258872651356989</v>
      </c>
      <c r="AF42" s="15">
        <f>AF33-AF40</f>
        <v>7676</v>
      </c>
      <c r="AG42" s="1">
        <f>IFERROR(AF42/AF$33,0)</f>
        <v>0.7416425120772947</v>
      </c>
      <c r="AH42" s="15">
        <f>AH33-AH40</f>
        <v>6258</v>
      </c>
      <c r="AI42" s="1">
        <f>IFERROR(AH42/AH$33,0)</f>
        <v>0.74270116306669831</v>
      </c>
      <c r="AJ42" s="15">
        <f>AJ33-AJ40</f>
        <v>6542</v>
      </c>
      <c r="AK42" s="1">
        <f>IFERROR(AJ42/AJ$33,0)</f>
        <v>0.74239673172945986</v>
      </c>
      <c r="AL42" s="15">
        <f>AL33-AL40</f>
        <v>6227</v>
      </c>
      <c r="AM42" s="1">
        <f>IFERROR(AL42/AL$33,0)</f>
        <v>0.74228155918464656</v>
      </c>
      <c r="AN42" s="15">
        <f>AN33-AN40</f>
        <v>6814</v>
      </c>
      <c r="AO42" s="1">
        <f>IFERROR(AN42/AN$33,0)</f>
        <v>0.74356176342208646</v>
      </c>
      <c r="AP42" s="15">
        <f>AP33-AP40</f>
        <v>7330</v>
      </c>
      <c r="AQ42" s="1">
        <f>IFERROR(AP42/AP$33,0)</f>
        <v>0.74272975985408851</v>
      </c>
      <c r="AR42" s="15">
        <f>AR33-AR40</f>
        <v>6915</v>
      </c>
      <c r="AS42" s="1">
        <f>IFERROR(AR42/AR$33,0)</f>
        <v>0.74227136109918423</v>
      </c>
      <c r="AT42" s="15">
        <f>AT33-AT40</f>
        <v>6708</v>
      </c>
      <c r="AU42" s="1">
        <f>IFERROR(AT42/AT$33,0)</f>
        <v>0.74211749087288414</v>
      </c>
      <c r="AV42" s="15">
        <f>AV33-AV40</f>
        <v>6194</v>
      </c>
      <c r="AW42" s="1">
        <f>IFERROR(AV42/AV$33,0)</f>
        <v>0.7432205423566115</v>
      </c>
      <c r="AX42" s="15">
        <f>AX33-AX40</f>
        <v>7476</v>
      </c>
      <c r="AY42" s="1">
        <f>IFERROR(AX42/AX$33,0)</f>
        <v>0.7427719821162444</v>
      </c>
      <c r="AZ42" s="15">
        <f>AZ33-AZ40</f>
        <v>6279</v>
      </c>
      <c r="BA42" s="1">
        <f>IFERROR(AZ42/AZ$33,0)</f>
        <v>0.74176018901358531</v>
      </c>
      <c r="BB42" s="15">
        <f>BB33-BB40</f>
        <v>6461</v>
      </c>
      <c r="BC42" s="1">
        <f>IFERROR(BB42/BB$33,0)</f>
        <v>0.74153563640537123</v>
      </c>
      <c r="BD42" s="15">
        <f>BD33-BD40</f>
        <v>5445</v>
      </c>
      <c r="BE42" s="1">
        <f>IFERROR(BD42/BD$33,0)</f>
        <v>0.74202780049059691</v>
      </c>
      <c r="BF42" s="15">
        <f>BF33-BF40</f>
        <v>5293</v>
      </c>
      <c r="BG42" s="1">
        <f>IFERROR(BF42/BF$33,0)</f>
        <v>0.74214806505888953</v>
      </c>
      <c r="BH42" s="15">
        <f>BH33-BH40</f>
        <v>5282</v>
      </c>
      <c r="BI42" s="1">
        <f>IFERROR(BH42/BH$33,0)</f>
        <v>0.74143739472206627</v>
      </c>
      <c r="BJ42" s="15">
        <f>BJ33-BJ40</f>
        <v>5348</v>
      </c>
      <c r="BK42" s="1">
        <f>IFERROR(BJ42/BJ$33,0)</f>
        <v>0.74257150791446824</v>
      </c>
      <c r="BL42" s="15">
        <f>BL33-BL40</f>
        <v>5530</v>
      </c>
      <c r="BM42" s="1">
        <f>IFERROR(BL42/BL$33,0)</f>
        <v>0.74198309405608476</v>
      </c>
      <c r="BN42" s="15">
        <f>BN33-BN40</f>
        <v>6472</v>
      </c>
      <c r="BO42" s="1">
        <f>IFERROR(BN42/BN$33,0)</f>
        <v>0.74118185982592766</v>
      </c>
      <c r="BP42" s="15">
        <f>BP33-BP40</f>
        <v>5419</v>
      </c>
      <c r="BQ42" s="1">
        <f>IFERROR(BP42/BP$33,0)</f>
        <v>0.74202382582500337</v>
      </c>
      <c r="BR42" s="15">
        <f>BR33-BR40</f>
        <v>4962</v>
      </c>
      <c r="BS42" s="1">
        <f>IFERROR(BR42/BR$33,0)</f>
        <v>0.74203678779721849</v>
      </c>
      <c r="BT42" s="15">
        <f>BT33-BT40</f>
        <v>5996</v>
      </c>
      <c r="BU42" s="1">
        <f>IFERROR(BT42/BT$33,0)</f>
        <v>0.74143687399530112</v>
      </c>
      <c r="BV42" s="15">
        <f>BV33-BV40</f>
        <v>4856</v>
      </c>
      <c r="BW42" s="1">
        <f>IFERROR(BV42/BV$33,0)</f>
        <v>0.74114774114774118</v>
      </c>
      <c r="BX42" s="15">
        <f>BX33-BX40</f>
        <v>5788</v>
      </c>
      <c r="BY42" s="1">
        <f>IFERROR(BX42/BX$33,0)</f>
        <v>0.74081658773838477</v>
      </c>
      <c r="BZ42" s="15">
        <f>BZ33-BZ40</f>
        <v>5293</v>
      </c>
      <c r="CA42" s="1">
        <f>IFERROR(BZ42/BZ$33,0)</f>
        <v>0.74110893307196868</v>
      </c>
      <c r="CB42" s="15">
        <f>CB33-CB40</f>
        <v>5952</v>
      </c>
      <c r="CC42" s="1">
        <f>IFERROR(CB42/CB$33,0)</f>
        <v>0.74186713199551291</v>
      </c>
      <c r="CD42" s="15">
        <f>CD33-CD40</f>
        <v>5707</v>
      </c>
      <c r="CE42" s="1">
        <f>IFERROR(CD42/CD$33,0)</f>
        <v>0.74242227136724337</v>
      </c>
      <c r="CF42" s="15">
        <f>CF33-CF40</f>
        <v>5171</v>
      </c>
      <c r="CG42" s="1">
        <f>IFERROR(CF42/CF$33,0)</f>
        <v>0.74168100975329887</v>
      </c>
      <c r="CH42" s="15">
        <f>CH33-CH40</f>
        <v>5917</v>
      </c>
      <c r="CI42" s="1">
        <f>IFERROR(CH42/CH$33,0)</f>
        <v>0.74175755296477375</v>
      </c>
      <c r="CJ42" s="15">
        <f>CJ33-CJ40</f>
        <v>6122</v>
      </c>
      <c r="CK42" s="1">
        <f>IFERROR(CJ42/CJ$33,0)</f>
        <v>0.74260067928190199</v>
      </c>
      <c r="CL42" s="15">
        <f>CL33-CL40</f>
        <v>6592</v>
      </c>
      <c r="CM42" s="1">
        <f>IFERROR(CL42/CL$33,0)</f>
        <v>0.74267688147814326</v>
      </c>
      <c r="CN42" s="15">
        <f>CN33-CN40</f>
        <v>6105</v>
      </c>
      <c r="CO42" s="1">
        <f>IFERROR(CN42/CN$33,0)</f>
        <v>0.74197860962566842</v>
      </c>
      <c r="CP42" s="15">
        <f>CP33-CP40</f>
        <v>6612</v>
      </c>
      <c r="CQ42" s="1">
        <f>IFERROR(CP42/CP$33,0)</f>
        <v>0.74225415356982483</v>
      </c>
      <c r="CR42" s="15">
        <f>CR33-CR40</f>
        <v>5002</v>
      </c>
      <c r="CS42" s="1">
        <f>IFERROR(CR42/CR$33,0)</f>
        <v>0.74213649851632046</v>
      </c>
      <c r="CT42" s="15">
        <f>CT33-CT40</f>
        <v>6069</v>
      </c>
      <c r="CU42" s="1">
        <f>IFERROR(CT42/CT$33,0)</f>
        <v>0.74184085075174189</v>
      </c>
      <c r="CV42" s="15">
        <f>CV33-CV40</f>
        <v>5582</v>
      </c>
      <c r="CW42" s="1">
        <f>IFERROR(CV42/CV$33,0)</f>
        <v>0.74327563249001327</v>
      </c>
      <c r="CX42" s="15">
        <f>CX33-CX40</f>
        <v>7108</v>
      </c>
      <c r="CY42" s="1">
        <f>IFERROR(CX42/CX$33,0)</f>
        <v>0.74126603399728852</v>
      </c>
      <c r="CZ42" s="15">
        <f>CZ33-CZ40</f>
        <v>6439</v>
      </c>
      <c r="DA42" s="1">
        <f>IFERROR(CZ42/CZ$33,0)</f>
        <v>0.74224783861671473</v>
      </c>
      <c r="DB42" s="15">
        <f>DB33-DB40</f>
        <v>5984</v>
      </c>
      <c r="DC42" s="1">
        <f>IFERROR(DB42/DB$33,0)</f>
        <v>0.74289261328367473</v>
      </c>
      <c r="DD42" s="15">
        <f>SUM(OSRRefD41x_0)</f>
        <v>326976</v>
      </c>
      <c r="DE42" s="1">
        <f>IFERROR(DD42/DD$33,0)</f>
        <v>0.7421001386717021</v>
      </c>
      <c r="DF42" s="28"/>
    </row>
    <row r="43" spans="2:110" x14ac:dyDescent="0.25">
      <c r="B43" s="29"/>
      <c r="C43" s="52"/>
      <c r="D43" s="22"/>
      <c r="E43" s="10"/>
      <c r="F43" s="22"/>
      <c r="G43" s="10"/>
      <c r="H43" s="22"/>
      <c r="I43" s="10"/>
      <c r="J43" s="22"/>
      <c r="K43" s="10"/>
      <c r="L43" s="22"/>
      <c r="M43" s="10"/>
      <c r="N43" s="22"/>
      <c r="O43" s="10"/>
      <c r="P43" s="22"/>
      <c r="Q43" s="10"/>
      <c r="R43" s="22"/>
      <c r="S43" s="10"/>
      <c r="T43" s="22"/>
      <c r="U43" s="10"/>
      <c r="V43" s="22"/>
      <c r="W43" s="10"/>
      <c r="X43" s="22"/>
      <c r="Y43" s="10"/>
      <c r="Z43" s="22"/>
      <c r="AA43" s="10"/>
      <c r="AB43" s="22"/>
      <c r="AC43" s="10"/>
      <c r="AD43" s="22"/>
      <c r="AE43" s="10"/>
      <c r="AF43" s="22"/>
      <c r="AG43" s="10"/>
      <c r="AH43" s="22"/>
      <c r="AI43" s="10"/>
      <c r="AJ43" s="22"/>
      <c r="AK43" s="10"/>
      <c r="AL43" s="22"/>
      <c r="AM43" s="10"/>
      <c r="AN43" s="22"/>
      <c r="AO43" s="10"/>
      <c r="AP43" s="22"/>
      <c r="AQ43" s="10"/>
      <c r="AR43" s="22"/>
      <c r="AS43" s="10"/>
      <c r="AT43" s="22"/>
      <c r="AU43" s="10"/>
      <c r="AV43" s="22"/>
      <c r="AW43" s="10"/>
      <c r="AX43" s="22"/>
      <c r="AY43" s="10"/>
      <c r="AZ43" s="22"/>
      <c r="BA43" s="10"/>
      <c r="BB43" s="22"/>
      <c r="BC43" s="10"/>
      <c r="BD43" s="22"/>
      <c r="BE43" s="10"/>
      <c r="BF43" s="22"/>
      <c r="BG43" s="10"/>
      <c r="BH43" s="22"/>
      <c r="BI43" s="10"/>
      <c r="BJ43" s="22"/>
      <c r="BK43" s="10"/>
      <c r="BL43" s="22"/>
      <c r="BM43" s="10"/>
      <c r="BN43" s="22"/>
      <c r="BO43" s="10"/>
      <c r="BP43" s="22"/>
      <c r="BQ43" s="10"/>
      <c r="BR43" s="22"/>
      <c r="BS43" s="10"/>
      <c r="BT43" s="22"/>
      <c r="BU43" s="10"/>
      <c r="BV43" s="22"/>
      <c r="BW43" s="10"/>
      <c r="BX43" s="22"/>
      <c r="BY43" s="10"/>
      <c r="BZ43" s="22"/>
      <c r="CA43" s="10"/>
      <c r="CB43" s="22"/>
      <c r="CC43" s="10"/>
      <c r="CD43" s="22"/>
      <c r="CE43" s="10"/>
      <c r="CF43" s="22"/>
      <c r="CG43" s="10"/>
      <c r="CH43" s="22"/>
      <c r="CI43" s="10"/>
      <c r="CJ43" s="22"/>
      <c r="CK43" s="10"/>
      <c r="CL43" s="22"/>
      <c r="CM43" s="10"/>
      <c r="CN43" s="22"/>
      <c r="CO43" s="10"/>
      <c r="CP43" s="22"/>
      <c r="CQ43" s="10"/>
      <c r="CR43" s="22"/>
      <c r="CS43" s="10"/>
      <c r="CT43" s="22"/>
      <c r="CU43" s="10"/>
      <c r="CV43" s="22"/>
      <c r="CW43" s="10"/>
      <c r="CX43" s="22"/>
      <c r="CY43" s="10"/>
      <c r="CZ43" s="22"/>
      <c r="DA43" s="10"/>
      <c r="DB43" s="22"/>
      <c r="DC43" s="10"/>
      <c r="DD43" s="22"/>
      <c r="DE43" s="10"/>
      <c r="DF43" s="28"/>
    </row>
    <row r="44" spans="2:110" outlineLevel="1" x14ac:dyDescent="0.25">
      <c r="B44" s="45">
        <v>36001</v>
      </c>
      <c r="C44" t="s">
        <v>45</v>
      </c>
      <c r="D44" s="7">
        <f>IFERROR(0*-1,0)</f>
        <v>0</v>
      </c>
      <c r="E44" s="4">
        <f>IFERROR(D44/D$31,0)</f>
        <v>0</v>
      </c>
      <c r="F44" s="7">
        <f>IFERROR(0*-1,0)</f>
        <v>0</v>
      </c>
      <c r="G44" s="4">
        <f>IFERROR(F44/F$31,0)</f>
        <v>0</v>
      </c>
      <c r="H44" s="7">
        <f>IFERROR(0*-1,0)</f>
        <v>0</v>
      </c>
      <c r="I44" s="4">
        <f>IFERROR(H44/H$31,0)</f>
        <v>0</v>
      </c>
      <c r="J44" s="7">
        <f>IFERROR(0*-1,0)</f>
        <v>0</v>
      </c>
      <c r="K44" s="4">
        <f>IFERROR(J44/J$31,0)</f>
        <v>0</v>
      </c>
      <c r="L44" s="7">
        <f>IFERROR(0*-1,0)</f>
        <v>0</v>
      </c>
      <c r="M44" s="4">
        <f>IFERROR(L44/L$31,0)</f>
        <v>0</v>
      </c>
      <c r="N44" s="7">
        <f>IFERROR(0*-1,0)</f>
        <v>0</v>
      </c>
      <c r="O44" s="4">
        <f>IFERROR(N44/N$31,0)</f>
        <v>0</v>
      </c>
      <c r="P44" s="7">
        <f>IFERROR(0*-1,0)</f>
        <v>0</v>
      </c>
      <c r="Q44" s="4">
        <f>IFERROR(P44/P$31,0)</f>
        <v>0</v>
      </c>
      <c r="R44" s="7">
        <f>IFERROR(0*-1,0)</f>
        <v>0</v>
      </c>
      <c r="S44" s="4">
        <f>IFERROR(R44/R$31,0)</f>
        <v>0</v>
      </c>
      <c r="T44" s="7">
        <f>IFERROR(0*-1,0)</f>
        <v>0</v>
      </c>
      <c r="U44" s="4">
        <f>IFERROR(T44/T$31,0)</f>
        <v>0</v>
      </c>
      <c r="V44" s="7">
        <f>IFERROR(0*-1,0)</f>
        <v>0</v>
      </c>
      <c r="W44" s="4">
        <f>IFERROR(V44/V$31,0)</f>
        <v>0</v>
      </c>
      <c r="X44" s="7">
        <f>IFERROR(0*-1,0)</f>
        <v>0</v>
      </c>
      <c r="Y44" s="4">
        <f>IFERROR(X44/X$31,0)</f>
        <v>0</v>
      </c>
      <c r="Z44" s="7">
        <f>IFERROR(0*-1,0)</f>
        <v>0</v>
      </c>
      <c r="AA44" s="4">
        <f>IFERROR(Z44/Z$31,0)</f>
        <v>0</v>
      </c>
      <c r="AB44" s="7">
        <f>IFERROR(0*-1,0)</f>
        <v>0</v>
      </c>
      <c r="AC44" s="4">
        <f>IFERROR(AB44/AB$31,0)</f>
        <v>0</v>
      </c>
      <c r="AD44" s="7">
        <f>IFERROR(0*-1,0)</f>
        <v>0</v>
      </c>
      <c r="AE44" s="4">
        <f>IFERROR(AD44/AD$31,0)</f>
        <v>0</v>
      </c>
      <c r="AF44" s="7">
        <f>IFERROR(0*-1,0)</f>
        <v>0</v>
      </c>
      <c r="AG44" s="4">
        <f>IFERROR(AF44/AF$31,0)</f>
        <v>0</v>
      </c>
      <c r="AH44" s="7">
        <f>IFERROR(0*-1,0)</f>
        <v>0</v>
      </c>
      <c r="AI44" s="4">
        <f>IFERROR(AH44/AH$31,0)</f>
        <v>0</v>
      </c>
      <c r="AJ44" s="7">
        <f>IFERROR(0*-1,0)</f>
        <v>0</v>
      </c>
      <c r="AK44" s="4">
        <f>IFERROR(AJ44/AJ$31,0)</f>
        <v>0</v>
      </c>
      <c r="AL44" s="7">
        <f>IFERROR(0*-1,0)</f>
        <v>0</v>
      </c>
      <c r="AM44" s="4">
        <f>IFERROR(AL44/AL$31,0)</f>
        <v>0</v>
      </c>
      <c r="AN44" s="7">
        <f>IFERROR(0*-1,0)</f>
        <v>0</v>
      </c>
      <c r="AO44" s="4">
        <f>IFERROR(AN44/AN$31,0)</f>
        <v>0</v>
      </c>
      <c r="AP44" s="7">
        <f>IFERROR(0*-1,0)</f>
        <v>0</v>
      </c>
      <c r="AQ44" s="4">
        <f>IFERROR(AP44/AP$31,0)</f>
        <v>0</v>
      </c>
      <c r="AR44" s="7">
        <f>IFERROR(0*-1,0)</f>
        <v>0</v>
      </c>
      <c r="AS44" s="4">
        <f>IFERROR(AR44/AR$31,0)</f>
        <v>0</v>
      </c>
      <c r="AT44" s="7">
        <f>IFERROR(0*-1,0)</f>
        <v>0</v>
      </c>
      <c r="AU44" s="4">
        <f>IFERROR(AT44/AT$31,0)</f>
        <v>0</v>
      </c>
      <c r="AV44" s="7">
        <f>IFERROR(0*-1,0)</f>
        <v>0</v>
      </c>
      <c r="AW44" s="4">
        <f>IFERROR(AV44/AV$31,0)</f>
        <v>0</v>
      </c>
      <c r="AX44" s="7">
        <f>IFERROR(0*-1,0)</f>
        <v>0</v>
      </c>
      <c r="AY44" s="4">
        <f>IFERROR(AX44/AX$31,0)</f>
        <v>0</v>
      </c>
      <c r="AZ44" s="7">
        <f>IFERROR(0*-1,0)</f>
        <v>0</v>
      </c>
      <c r="BA44" s="4">
        <f>IFERROR(AZ44/AZ$31,0)</f>
        <v>0</v>
      </c>
      <c r="BB44" s="7">
        <f>IFERROR(0*-1,0)</f>
        <v>0</v>
      </c>
      <c r="BC44" s="4">
        <f>IFERROR(BB44/BB$31,0)</f>
        <v>0</v>
      </c>
      <c r="BD44" s="7">
        <f>IFERROR(0*-1,0)</f>
        <v>0</v>
      </c>
      <c r="BE44" s="4">
        <f>IFERROR(BD44/BD$31,0)</f>
        <v>0</v>
      </c>
      <c r="BF44" s="7">
        <f>IFERROR(0*-1,0)</f>
        <v>0</v>
      </c>
      <c r="BG44" s="4">
        <f>IFERROR(BF44/BF$31,0)</f>
        <v>0</v>
      </c>
      <c r="BH44" s="7">
        <f>IFERROR(0*-1,0)</f>
        <v>0</v>
      </c>
      <c r="BI44" s="4">
        <f>IFERROR(BH44/BH$31,0)</f>
        <v>0</v>
      </c>
      <c r="BJ44" s="7">
        <f>IFERROR(0*-1,0)</f>
        <v>0</v>
      </c>
      <c r="BK44" s="4">
        <f>IFERROR(BJ44/BJ$31,0)</f>
        <v>0</v>
      </c>
      <c r="BL44" s="7">
        <f>IFERROR(0*-1,0)</f>
        <v>0</v>
      </c>
      <c r="BM44" s="4">
        <f>IFERROR(BL44/BL$31,0)</f>
        <v>0</v>
      </c>
      <c r="BN44" s="7">
        <f>IFERROR(0*-1,0)</f>
        <v>0</v>
      </c>
      <c r="BO44" s="4">
        <f>IFERROR(BN44/BN$31,0)</f>
        <v>0</v>
      </c>
      <c r="BP44" s="7">
        <f>IFERROR(0*-1,0)</f>
        <v>0</v>
      </c>
      <c r="BQ44" s="4">
        <f>IFERROR(BP44/BP$31,0)</f>
        <v>0</v>
      </c>
      <c r="BR44" s="7">
        <f>IFERROR(0*-1,0)</f>
        <v>0</v>
      </c>
      <c r="BS44" s="4">
        <f>IFERROR(BR44/BR$31,0)</f>
        <v>0</v>
      </c>
      <c r="BT44" s="7">
        <f>IFERROR(0*-1,0)</f>
        <v>0</v>
      </c>
      <c r="BU44" s="4">
        <f>IFERROR(BT44/BT$31,0)</f>
        <v>0</v>
      </c>
      <c r="BV44" s="7">
        <f>IFERROR(0*-1,0)</f>
        <v>0</v>
      </c>
      <c r="BW44" s="4">
        <f>IFERROR(BV44/BV$31,0)</f>
        <v>0</v>
      </c>
      <c r="BX44" s="7">
        <f>IFERROR(0*-1,0)</f>
        <v>0</v>
      </c>
      <c r="BY44" s="4">
        <f>IFERROR(BX44/BX$31,0)</f>
        <v>0</v>
      </c>
      <c r="BZ44" s="7">
        <f>IFERROR(0*-1,0)</f>
        <v>0</v>
      </c>
      <c r="CA44" s="4">
        <f>IFERROR(BZ44/BZ$31,0)</f>
        <v>0</v>
      </c>
      <c r="CB44" s="7">
        <f>IFERROR(0*-1,0)</f>
        <v>0</v>
      </c>
      <c r="CC44" s="4">
        <f>IFERROR(CB44/CB$31,0)</f>
        <v>0</v>
      </c>
      <c r="CD44" s="7">
        <f>IFERROR(0*-1,0)</f>
        <v>0</v>
      </c>
      <c r="CE44" s="4">
        <f>IFERROR(CD44/CD$31,0)</f>
        <v>0</v>
      </c>
      <c r="CF44" s="7">
        <f>IFERROR(0*-1,0)</f>
        <v>0</v>
      </c>
      <c r="CG44" s="4">
        <f>IFERROR(CF44/CF$31,0)</f>
        <v>0</v>
      </c>
      <c r="CH44" s="7">
        <f>IFERROR(0*-1,0)</f>
        <v>0</v>
      </c>
      <c r="CI44" s="4">
        <f>IFERROR(CH44/CH$31,0)</f>
        <v>0</v>
      </c>
      <c r="CJ44" s="7">
        <f>IFERROR(0*-1,0)</f>
        <v>0</v>
      </c>
      <c r="CK44" s="4">
        <f>IFERROR(CJ44/CJ$31,0)</f>
        <v>0</v>
      </c>
      <c r="CL44" s="7">
        <f>IFERROR(0*-1,0)</f>
        <v>0</v>
      </c>
      <c r="CM44" s="4">
        <f>IFERROR(CL44/CL$31,0)</f>
        <v>0</v>
      </c>
      <c r="CN44" s="7">
        <f>IFERROR(0*-1,0)</f>
        <v>0</v>
      </c>
      <c r="CO44" s="4">
        <f>IFERROR(CN44/CN$31,0)</f>
        <v>0</v>
      </c>
      <c r="CP44" s="7">
        <f>IFERROR(0*-1,0)</f>
        <v>0</v>
      </c>
      <c r="CQ44" s="4">
        <f>IFERROR(CP44/CP$31,0)</f>
        <v>0</v>
      </c>
      <c r="CR44" s="7">
        <f>IFERROR(0*-1,0)</f>
        <v>0</v>
      </c>
      <c r="CS44" s="4">
        <f>IFERROR(CR44/CR$31,0)</f>
        <v>0</v>
      </c>
      <c r="CT44" s="7">
        <f>IFERROR(0*-1,0)</f>
        <v>0</v>
      </c>
      <c r="CU44" s="4">
        <f>IFERROR(CT44/CT$31,0)</f>
        <v>0</v>
      </c>
      <c r="CV44" s="7">
        <f>IFERROR(0*-1,0)</f>
        <v>0</v>
      </c>
      <c r="CW44" s="4">
        <f>IFERROR(CV44/CV$31,0)</f>
        <v>0</v>
      </c>
      <c r="CX44" s="7">
        <f>IFERROR(0*-1,0)</f>
        <v>0</v>
      </c>
      <c r="CY44" s="4">
        <f>IFERROR(CX44/CX$31,0)</f>
        <v>0</v>
      </c>
      <c r="CZ44" s="7">
        <f>IFERROR(0*-1,0)</f>
        <v>0</v>
      </c>
      <c r="DA44" s="4">
        <f>IFERROR(CZ44/CZ$31,0)</f>
        <v>0</v>
      </c>
      <c r="DB44" s="7">
        <f>IFERROR(0*-1,0)</f>
        <v>0</v>
      </c>
      <c r="DC44" s="4">
        <f>IFERROR(DB44/DB$31,0)</f>
        <v>0</v>
      </c>
      <c r="DD44" s="7">
        <f>SUM(OSRRefD43_0x_0)</f>
        <v>0</v>
      </c>
      <c r="DE44" s="4">
        <f>IFERROR(DD44/DD$31,0)</f>
        <v>0</v>
      </c>
    </row>
    <row r="45" spans="2:110" ht="7.5" customHeight="1" x14ac:dyDescent="0.25">
      <c r="D45" s="7"/>
      <c r="E45" s="6"/>
      <c r="F45" s="7"/>
      <c r="G45" s="6"/>
      <c r="H45" s="7"/>
      <c r="I45" s="6"/>
      <c r="J45" s="7"/>
      <c r="K45" s="6"/>
      <c r="L45" s="7"/>
      <c r="M45" s="6"/>
      <c r="N45" s="7"/>
      <c r="O45" s="6"/>
      <c r="P45" s="7"/>
      <c r="Q45" s="6"/>
      <c r="R45" s="7"/>
      <c r="S45" s="6"/>
      <c r="T45" s="7"/>
      <c r="U45" s="6"/>
      <c r="V45" s="7"/>
      <c r="W45" s="6"/>
      <c r="X45" s="7"/>
      <c r="Y45" s="6"/>
      <c r="Z45" s="7"/>
      <c r="AA45" s="6"/>
      <c r="AB45" s="7"/>
      <c r="AC45" s="6"/>
      <c r="AD45" s="7"/>
      <c r="AE45" s="6"/>
      <c r="AF45" s="7"/>
      <c r="AG45" s="6"/>
      <c r="AH45" s="7"/>
      <c r="AI45" s="6"/>
      <c r="AJ45" s="7"/>
      <c r="AK45" s="6"/>
      <c r="AL45" s="7"/>
      <c r="AM45" s="6"/>
      <c r="AN45" s="7"/>
      <c r="AO45" s="6"/>
      <c r="AP45" s="7"/>
      <c r="AQ45" s="6"/>
      <c r="AR45" s="7"/>
      <c r="AS45" s="6"/>
      <c r="AT45" s="7"/>
      <c r="AU45" s="6"/>
      <c r="AV45" s="7"/>
      <c r="AW45" s="6"/>
      <c r="AX45" s="7"/>
      <c r="AY45" s="6"/>
      <c r="AZ45" s="7"/>
      <c r="BA45" s="6"/>
      <c r="BB45" s="7"/>
      <c r="BC45" s="6"/>
      <c r="BD45" s="7"/>
      <c r="BE45" s="6"/>
      <c r="BF45" s="7"/>
      <c r="BG45" s="6"/>
      <c r="BH45" s="7"/>
      <c r="BI45" s="6"/>
      <c r="BJ45" s="7"/>
      <c r="BK45" s="6"/>
      <c r="BL45" s="7"/>
      <c r="BM45" s="6"/>
      <c r="BN45" s="7"/>
      <c r="BO45" s="6"/>
      <c r="BP45" s="7"/>
      <c r="BQ45" s="6"/>
      <c r="BR45" s="7"/>
      <c r="BS45" s="6"/>
      <c r="BT45" s="7"/>
      <c r="BU45" s="6"/>
      <c r="BV45" s="7"/>
      <c r="BW45" s="6"/>
      <c r="BX45" s="7"/>
      <c r="BY45" s="6"/>
      <c r="BZ45" s="7"/>
      <c r="CA45" s="6"/>
      <c r="CB45" s="7"/>
      <c r="CC45" s="6"/>
      <c r="CD45" s="7"/>
      <c r="CE45" s="6"/>
      <c r="CF45" s="7"/>
      <c r="CG45" s="6"/>
      <c r="CH45" s="7"/>
      <c r="CI45" s="6"/>
      <c r="CJ45" s="7"/>
      <c r="CK45" s="6"/>
      <c r="CL45" s="7"/>
      <c r="CM45" s="6"/>
      <c r="CN45" s="7"/>
      <c r="CO45" s="6"/>
      <c r="CP45" s="7"/>
      <c r="CQ45" s="6"/>
      <c r="CR45" s="7"/>
      <c r="CS45" s="6"/>
      <c r="CT45" s="7"/>
      <c r="CU45" s="6"/>
      <c r="CV45" s="7"/>
      <c r="CW45" s="6"/>
      <c r="CX45" s="7"/>
      <c r="CY45" s="6"/>
      <c r="CZ45" s="7"/>
      <c r="DA45" s="6"/>
      <c r="DB45" s="7"/>
      <c r="DC45" s="6"/>
      <c r="DD45" s="7"/>
      <c r="DE45" s="6"/>
    </row>
    <row r="46" spans="2:110" x14ac:dyDescent="0.25">
      <c r="B46" s="29"/>
      <c r="C46" s="32" t="s">
        <v>27</v>
      </c>
      <c r="D46" s="3">
        <f>SUM(D44:D45)</f>
        <v>0</v>
      </c>
      <c r="E46" s="1">
        <f>IFERROR(D46/D$33,0)</f>
        <v>0</v>
      </c>
      <c r="F46" s="3">
        <f>SUM(F44:F45)</f>
        <v>0</v>
      </c>
      <c r="G46" s="1">
        <f>IFERROR(F46/F$33,0)</f>
        <v>0</v>
      </c>
      <c r="H46" s="3">
        <f>SUM(H44:H45)</f>
        <v>0</v>
      </c>
      <c r="I46" s="1">
        <f>IFERROR(H46/H$33,0)</f>
        <v>0</v>
      </c>
      <c r="J46" s="3">
        <f>SUM(J44:J45)</f>
        <v>0</v>
      </c>
      <c r="K46" s="1">
        <f>IFERROR(J46/J$33,0)</f>
        <v>0</v>
      </c>
      <c r="L46" s="3">
        <f>SUM(L44:L45)</f>
        <v>0</v>
      </c>
      <c r="M46" s="1">
        <f>IFERROR(L46/L$33,0)</f>
        <v>0</v>
      </c>
      <c r="N46" s="3">
        <f>SUM(N44:N45)</f>
        <v>0</v>
      </c>
      <c r="O46" s="1">
        <f>IFERROR(N46/N$33,0)</f>
        <v>0</v>
      </c>
      <c r="P46" s="3">
        <f>SUM(P44:P45)</f>
        <v>0</v>
      </c>
      <c r="Q46" s="1">
        <f>IFERROR(P46/P$33,0)</f>
        <v>0</v>
      </c>
      <c r="R46" s="3">
        <f>SUM(R44:R45)</f>
        <v>0</v>
      </c>
      <c r="S46" s="1">
        <f>IFERROR(R46/R$33,0)</f>
        <v>0</v>
      </c>
      <c r="T46" s="3">
        <f>SUM(T44:T45)</f>
        <v>0</v>
      </c>
      <c r="U46" s="1">
        <f>IFERROR(T46/T$33,0)</f>
        <v>0</v>
      </c>
      <c r="V46" s="3">
        <f>SUM(V44:V45)</f>
        <v>0</v>
      </c>
      <c r="W46" s="1">
        <f>IFERROR(V46/V$33,0)</f>
        <v>0</v>
      </c>
      <c r="X46" s="3">
        <f>SUM(X44:X45)</f>
        <v>0</v>
      </c>
      <c r="Y46" s="1">
        <f>IFERROR(X46/X$33,0)</f>
        <v>0</v>
      </c>
      <c r="Z46" s="3">
        <f>SUM(Z44:Z45)</f>
        <v>0</v>
      </c>
      <c r="AA46" s="1">
        <f>IFERROR(Z46/Z$33,0)</f>
        <v>0</v>
      </c>
      <c r="AB46" s="3">
        <f>SUM(AB44:AB45)</f>
        <v>0</v>
      </c>
      <c r="AC46" s="1">
        <f>IFERROR(AB46/AB$33,0)</f>
        <v>0</v>
      </c>
      <c r="AD46" s="3">
        <f>SUM(AD44:AD45)</f>
        <v>0</v>
      </c>
      <c r="AE46" s="1">
        <f>IFERROR(AD46/AD$33,0)</f>
        <v>0</v>
      </c>
      <c r="AF46" s="3">
        <f>SUM(AF44:AF45)</f>
        <v>0</v>
      </c>
      <c r="AG46" s="1">
        <f>IFERROR(AF46/AF$33,0)</f>
        <v>0</v>
      </c>
      <c r="AH46" s="3">
        <f>SUM(AH44:AH45)</f>
        <v>0</v>
      </c>
      <c r="AI46" s="1">
        <f>IFERROR(AH46/AH$33,0)</f>
        <v>0</v>
      </c>
      <c r="AJ46" s="3">
        <f>SUM(AJ44:AJ45)</f>
        <v>0</v>
      </c>
      <c r="AK46" s="1">
        <f>IFERROR(AJ46/AJ$33,0)</f>
        <v>0</v>
      </c>
      <c r="AL46" s="3">
        <f>SUM(AL44:AL45)</f>
        <v>0</v>
      </c>
      <c r="AM46" s="1">
        <f>IFERROR(AL46/AL$33,0)</f>
        <v>0</v>
      </c>
      <c r="AN46" s="3">
        <f>SUM(AN44:AN45)</f>
        <v>0</v>
      </c>
      <c r="AO46" s="1">
        <f>IFERROR(AN46/AN$33,0)</f>
        <v>0</v>
      </c>
      <c r="AP46" s="3">
        <f>SUM(AP44:AP45)</f>
        <v>0</v>
      </c>
      <c r="AQ46" s="1">
        <f>IFERROR(AP46/AP$33,0)</f>
        <v>0</v>
      </c>
      <c r="AR46" s="3">
        <f>SUM(AR44:AR45)</f>
        <v>0</v>
      </c>
      <c r="AS46" s="1">
        <f>IFERROR(AR46/AR$33,0)</f>
        <v>0</v>
      </c>
      <c r="AT46" s="3">
        <f>SUM(AT44:AT45)</f>
        <v>0</v>
      </c>
      <c r="AU46" s="1">
        <f>IFERROR(AT46/AT$33,0)</f>
        <v>0</v>
      </c>
      <c r="AV46" s="3">
        <f>SUM(AV44:AV45)</f>
        <v>0</v>
      </c>
      <c r="AW46" s="1">
        <f>IFERROR(AV46/AV$33,0)</f>
        <v>0</v>
      </c>
      <c r="AX46" s="3">
        <f>SUM(AX44:AX45)</f>
        <v>0</v>
      </c>
      <c r="AY46" s="1">
        <f>IFERROR(AX46/AX$33,0)</f>
        <v>0</v>
      </c>
      <c r="AZ46" s="3">
        <f>SUM(AZ44:AZ45)</f>
        <v>0</v>
      </c>
      <c r="BA46" s="1">
        <f>IFERROR(AZ46/AZ$33,0)</f>
        <v>0</v>
      </c>
      <c r="BB46" s="3">
        <f>SUM(BB44:BB45)</f>
        <v>0</v>
      </c>
      <c r="BC46" s="1">
        <f>IFERROR(BB46/BB$33,0)</f>
        <v>0</v>
      </c>
      <c r="BD46" s="3">
        <f>SUM(BD44:BD45)</f>
        <v>0</v>
      </c>
      <c r="BE46" s="1">
        <f>IFERROR(BD46/BD$33,0)</f>
        <v>0</v>
      </c>
      <c r="BF46" s="3">
        <f>SUM(BF44:BF45)</f>
        <v>0</v>
      </c>
      <c r="BG46" s="1">
        <f>IFERROR(BF46/BF$33,0)</f>
        <v>0</v>
      </c>
      <c r="BH46" s="3">
        <f>SUM(BH44:BH45)</f>
        <v>0</v>
      </c>
      <c r="BI46" s="1">
        <f>IFERROR(BH46/BH$33,0)</f>
        <v>0</v>
      </c>
      <c r="BJ46" s="3">
        <f>SUM(BJ44:BJ45)</f>
        <v>0</v>
      </c>
      <c r="BK46" s="1">
        <f>IFERROR(BJ46/BJ$33,0)</f>
        <v>0</v>
      </c>
      <c r="BL46" s="3">
        <f>SUM(BL44:BL45)</f>
        <v>0</v>
      </c>
      <c r="BM46" s="1">
        <f>IFERROR(BL46/BL$33,0)</f>
        <v>0</v>
      </c>
      <c r="BN46" s="3">
        <f>SUM(BN44:BN45)</f>
        <v>0</v>
      </c>
      <c r="BO46" s="1">
        <f>IFERROR(BN46/BN$33,0)</f>
        <v>0</v>
      </c>
      <c r="BP46" s="3">
        <f>SUM(BP44:BP45)</f>
        <v>0</v>
      </c>
      <c r="BQ46" s="1">
        <f>IFERROR(BP46/BP$33,0)</f>
        <v>0</v>
      </c>
      <c r="BR46" s="3">
        <f>SUM(BR44:BR45)</f>
        <v>0</v>
      </c>
      <c r="BS46" s="1">
        <f>IFERROR(BR46/BR$33,0)</f>
        <v>0</v>
      </c>
      <c r="BT46" s="3">
        <f>SUM(BT44:BT45)</f>
        <v>0</v>
      </c>
      <c r="BU46" s="1">
        <f>IFERROR(BT46/BT$33,0)</f>
        <v>0</v>
      </c>
      <c r="BV46" s="3">
        <f>SUM(BV44:BV45)</f>
        <v>0</v>
      </c>
      <c r="BW46" s="1">
        <f>IFERROR(BV46/BV$33,0)</f>
        <v>0</v>
      </c>
      <c r="BX46" s="3">
        <f>SUM(BX44:BX45)</f>
        <v>0</v>
      </c>
      <c r="BY46" s="1">
        <f>IFERROR(BX46/BX$33,0)</f>
        <v>0</v>
      </c>
      <c r="BZ46" s="3">
        <f>SUM(BZ44:BZ45)</f>
        <v>0</v>
      </c>
      <c r="CA46" s="1">
        <f>IFERROR(BZ46/BZ$33,0)</f>
        <v>0</v>
      </c>
      <c r="CB46" s="3">
        <f>SUM(CB44:CB45)</f>
        <v>0</v>
      </c>
      <c r="CC46" s="1">
        <f>IFERROR(CB46/CB$33,0)</f>
        <v>0</v>
      </c>
      <c r="CD46" s="3">
        <f>SUM(CD44:CD45)</f>
        <v>0</v>
      </c>
      <c r="CE46" s="1">
        <f>IFERROR(CD46/CD$33,0)</f>
        <v>0</v>
      </c>
      <c r="CF46" s="3">
        <f>SUM(CF44:CF45)</f>
        <v>0</v>
      </c>
      <c r="CG46" s="1">
        <f>IFERROR(CF46/CF$33,0)</f>
        <v>0</v>
      </c>
      <c r="CH46" s="3">
        <f>SUM(CH44:CH45)</f>
        <v>0</v>
      </c>
      <c r="CI46" s="1">
        <f>IFERROR(CH46/CH$33,0)</f>
        <v>0</v>
      </c>
      <c r="CJ46" s="3">
        <f>SUM(CJ44:CJ45)</f>
        <v>0</v>
      </c>
      <c r="CK46" s="1">
        <f>IFERROR(CJ46/CJ$33,0)</f>
        <v>0</v>
      </c>
      <c r="CL46" s="3">
        <f>SUM(CL44:CL45)</f>
        <v>0</v>
      </c>
      <c r="CM46" s="1">
        <f>IFERROR(CL46/CL$33,0)</f>
        <v>0</v>
      </c>
      <c r="CN46" s="3">
        <f>SUM(CN44:CN45)</f>
        <v>0</v>
      </c>
      <c r="CO46" s="1">
        <f>IFERROR(CN46/CN$33,0)</f>
        <v>0</v>
      </c>
      <c r="CP46" s="3">
        <f>SUM(CP44:CP45)</f>
        <v>0</v>
      </c>
      <c r="CQ46" s="1">
        <f>IFERROR(CP46/CP$33,0)</f>
        <v>0</v>
      </c>
      <c r="CR46" s="3">
        <f>SUM(CR44:CR45)</f>
        <v>0</v>
      </c>
      <c r="CS46" s="1">
        <f>IFERROR(CR46/CR$33,0)</f>
        <v>0</v>
      </c>
      <c r="CT46" s="3">
        <f>SUM(CT44:CT45)</f>
        <v>0</v>
      </c>
      <c r="CU46" s="1">
        <f>IFERROR(CT46/CT$33,0)</f>
        <v>0</v>
      </c>
      <c r="CV46" s="3">
        <f>SUM(CV44:CV45)</f>
        <v>0</v>
      </c>
      <c r="CW46" s="1">
        <f>IFERROR(CV46/CV$33,0)</f>
        <v>0</v>
      </c>
      <c r="CX46" s="3">
        <f>SUM(CX44:CX45)</f>
        <v>0</v>
      </c>
      <c r="CY46" s="1">
        <f>IFERROR(CX46/CX$33,0)</f>
        <v>0</v>
      </c>
      <c r="CZ46" s="3">
        <f>SUM(CZ44:CZ45)</f>
        <v>0</v>
      </c>
      <c r="DA46" s="1">
        <f>IFERROR(CZ46/CZ$33,0)</f>
        <v>0</v>
      </c>
      <c r="DB46" s="3">
        <f>SUM(DB44:DB45)</f>
        <v>0</v>
      </c>
      <c r="DC46" s="1">
        <f>IFERROR(DB46/DB$33,0)</f>
        <v>0</v>
      </c>
      <c r="DD46" s="3">
        <f>SUM(OSRRefD45x_0)</f>
        <v>0</v>
      </c>
      <c r="DE46" s="1">
        <f>IFERROR(DD46/DD$33,0)</f>
        <v>0</v>
      </c>
      <c r="DF46" s="28"/>
    </row>
    <row r="47" spans="2:110" x14ac:dyDescent="0.25">
      <c r="B47" s="29"/>
      <c r="C47" s="36"/>
      <c r="D47" s="8"/>
      <c r="E47" s="10"/>
      <c r="F47" s="8"/>
      <c r="G47" s="10"/>
      <c r="H47" s="8"/>
      <c r="I47" s="10"/>
      <c r="J47" s="8"/>
      <c r="K47" s="10"/>
      <c r="L47" s="8"/>
      <c r="M47" s="10"/>
      <c r="N47" s="8"/>
      <c r="O47" s="10"/>
      <c r="P47" s="8"/>
      <c r="Q47" s="10"/>
      <c r="R47" s="8"/>
      <c r="S47" s="10"/>
      <c r="T47" s="8"/>
      <c r="U47" s="10"/>
      <c r="V47" s="8"/>
      <c r="W47" s="10"/>
      <c r="X47" s="8"/>
      <c r="Y47" s="10"/>
      <c r="Z47" s="8"/>
      <c r="AA47" s="10"/>
      <c r="AB47" s="8"/>
      <c r="AC47" s="10"/>
      <c r="AD47" s="8"/>
      <c r="AE47" s="10"/>
      <c r="AF47" s="8"/>
      <c r="AG47" s="10"/>
      <c r="AH47" s="8"/>
      <c r="AI47" s="10"/>
      <c r="AJ47" s="8"/>
      <c r="AK47" s="10"/>
      <c r="AL47" s="8"/>
      <c r="AM47" s="10"/>
      <c r="AN47" s="8"/>
      <c r="AO47" s="10"/>
      <c r="AP47" s="8"/>
      <c r="AQ47" s="10"/>
      <c r="AR47" s="8"/>
      <c r="AS47" s="10"/>
      <c r="AT47" s="8"/>
      <c r="AU47" s="10"/>
      <c r="AV47" s="8"/>
      <c r="AW47" s="10"/>
      <c r="AX47" s="8"/>
      <c r="AY47" s="10"/>
      <c r="AZ47" s="8"/>
      <c r="BA47" s="10"/>
      <c r="BB47" s="8"/>
      <c r="BC47" s="10"/>
      <c r="BD47" s="8"/>
      <c r="BE47" s="10"/>
      <c r="BF47" s="8"/>
      <c r="BG47" s="10"/>
      <c r="BH47" s="8"/>
      <c r="BI47" s="10"/>
      <c r="BJ47" s="8"/>
      <c r="BK47" s="10"/>
      <c r="BL47" s="8"/>
      <c r="BM47" s="10"/>
      <c r="BN47" s="8"/>
      <c r="BO47" s="10"/>
      <c r="BP47" s="8"/>
      <c r="BQ47" s="10"/>
      <c r="BR47" s="8"/>
      <c r="BS47" s="10"/>
      <c r="BT47" s="8"/>
      <c r="BU47" s="10"/>
      <c r="BV47" s="8"/>
      <c r="BW47" s="10"/>
      <c r="BX47" s="8"/>
      <c r="BY47" s="10"/>
      <c r="BZ47" s="8"/>
      <c r="CA47" s="10"/>
      <c r="CB47" s="8"/>
      <c r="CC47" s="10"/>
      <c r="CD47" s="8"/>
      <c r="CE47" s="10"/>
      <c r="CF47" s="8"/>
      <c r="CG47" s="10"/>
      <c r="CH47" s="8"/>
      <c r="CI47" s="10"/>
      <c r="CJ47" s="8"/>
      <c r="CK47" s="10"/>
      <c r="CL47" s="8"/>
      <c r="CM47" s="10"/>
      <c r="CN47" s="8"/>
      <c r="CO47" s="10"/>
      <c r="CP47" s="8"/>
      <c r="CQ47" s="10"/>
      <c r="CR47" s="8"/>
      <c r="CS47" s="10"/>
      <c r="CT47" s="8"/>
      <c r="CU47" s="10"/>
      <c r="CV47" s="8"/>
      <c r="CW47" s="10"/>
      <c r="CX47" s="8"/>
      <c r="CY47" s="10"/>
      <c r="CZ47" s="8"/>
      <c r="DA47" s="10"/>
      <c r="DB47" s="8"/>
      <c r="DC47" s="10"/>
      <c r="DD47" s="8"/>
      <c r="DE47" s="10"/>
      <c r="DF47" s="28"/>
    </row>
    <row r="48" spans="2:110" outlineLevel="1" x14ac:dyDescent="0.25">
      <c r="B48">
        <v>46001</v>
      </c>
      <c r="C48" t="s">
        <v>46</v>
      </c>
      <c r="D48" s="7">
        <f>IFERROR(0,0)</f>
        <v>0</v>
      </c>
      <c r="E48" s="4">
        <f>IFERROR(D48/D$31,0)</f>
        <v>0</v>
      </c>
      <c r="F48" s="7">
        <f>IFERROR(0,0)</f>
        <v>0</v>
      </c>
      <c r="G48" s="4">
        <f>IFERROR(F48/F$31,0)</f>
        <v>0</v>
      </c>
      <c r="H48" s="7">
        <f>IFERROR(0,0)</f>
        <v>0</v>
      </c>
      <c r="I48" s="4">
        <f>IFERROR(H48/H$31,0)</f>
        <v>0</v>
      </c>
      <c r="J48" s="7">
        <f>IFERROR(0,0)</f>
        <v>0</v>
      </c>
      <c r="K48" s="4">
        <f>IFERROR(J48/J$31,0)</f>
        <v>0</v>
      </c>
      <c r="L48" s="7">
        <f>IFERROR(0,0)</f>
        <v>0</v>
      </c>
      <c r="M48" s="4">
        <f>IFERROR(L48/L$31,0)</f>
        <v>0</v>
      </c>
      <c r="N48" s="7">
        <f>IFERROR(0,0)</f>
        <v>0</v>
      </c>
      <c r="O48" s="4">
        <f>IFERROR(N48/N$31,0)</f>
        <v>0</v>
      </c>
      <c r="P48" s="7">
        <f>IFERROR(0,0)</f>
        <v>0</v>
      </c>
      <c r="Q48" s="4">
        <f>IFERROR(P48/P$31,0)</f>
        <v>0</v>
      </c>
      <c r="R48" s="7">
        <f>IFERROR(0,0)</f>
        <v>0</v>
      </c>
      <c r="S48" s="4">
        <f>IFERROR(R48/R$31,0)</f>
        <v>0</v>
      </c>
      <c r="T48" s="7">
        <f>IFERROR(0,0)</f>
        <v>0</v>
      </c>
      <c r="U48" s="4">
        <f>IFERROR(T48/T$31,0)</f>
        <v>0</v>
      </c>
      <c r="V48" s="7">
        <f>IFERROR(0,0)</f>
        <v>0</v>
      </c>
      <c r="W48" s="4">
        <f>IFERROR(V48/V$31,0)</f>
        <v>0</v>
      </c>
      <c r="X48" s="7">
        <f>IFERROR(0,0)</f>
        <v>0</v>
      </c>
      <c r="Y48" s="4">
        <f>IFERROR(X48/X$31,0)</f>
        <v>0</v>
      </c>
      <c r="Z48" s="7">
        <f>IFERROR(0,0)</f>
        <v>0</v>
      </c>
      <c r="AA48" s="4">
        <f>IFERROR(Z48/Z$31,0)</f>
        <v>0</v>
      </c>
      <c r="AB48" s="7">
        <f>IFERROR(0,0)</f>
        <v>0</v>
      </c>
      <c r="AC48" s="4">
        <f>IFERROR(AB48/AB$31,0)</f>
        <v>0</v>
      </c>
      <c r="AD48" s="7">
        <f>IFERROR(0,0)</f>
        <v>0</v>
      </c>
      <c r="AE48" s="4">
        <f>IFERROR(AD48/AD$31,0)</f>
        <v>0</v>
      </c>
      <c r="AF48" s="7">
        <f>IFERROR(0,0)</f>
        <v>0</v>
      </c>
      <c r="AG48" s="4">
        <f>IFERROR(AF48/AF$31,0)</f>
        <v>0</v>
      </c>
      <c r="AH48" s="7">
        <f>IFERROR(0,0)</f>
        <v>0</v>
      </c>
      <c r="AI48" s="4">
        <f>IFERROR(AH48/AH$31,0)</f>
        <v>0</v>
      </c>
      <c r="AJ48" s="7">
        <f>IFERROR(0,0)</f>
        <v>0</v>
      </c>
      <c r="AK48" s="4">
        <f>IFERROR(AJ48/AJ$31,0)</f>
        <v>0</v>
      </c>
      <c r="AL48" s="7">
        <f>IFERROR(0,0)</f>
        <v>0</v>
      </c>
      <c r="AM48" s="4">
        <f>IFERROR(AL48/AL$31,0)</f>
        <v>0</v>
      </c>
      <c r="AN48" s="7">
        <f>IFERROR(0,0)</f>
        <v>0</v>
      </c>
      <c r="AO48" s="4">
        <f>IFERROR(AN48/AN$31,0)</f>
        <v>0</v>
      </c>
      <c r="AP48" s="7">
        <f>IFERROR(0,0)</f>
        <v>0</v>
      </c>
      <c r="AQ48" s="4">
        <f>IFERROR(AP48/AP$31,0)</f>
        <v>0</v>
      </c>
      <c r="AR48" s="7">
        <f>IFERROR(0,0)</f>
        <v>0</v>
      </c>
      <c r="AS48" s="4">
        <f>IFERROR(AR48/AR$31,0)</f>
        <v>0</v>
      </c>
      <c r="AT48" s="7">
        <f>IFERROR(0,0)</f>
        <v>0</v>
      </c>
      <c r="AU48" s="4">
        <f>IFERROR(AT48/AT$31,0)</f>
        <v>0</v>
      </c>
      <c r="AV48" s="7">
        <f>IFERROR(0,0)</f>
        <v>0</v>
      </c>
      <c r="AW48" s="4">
        <f>IFERROR(AV48/AV$31,0)</f>
        <v>0</v>
      </c>
      <c r="AX48" s="7">
        <f>IFERROR(0,0)</f>
        <v>0</v>
      </c>
      <c r="AY48" s="4">
        <f>IFERROR(AX48/AX$31,0)</f>
        <v>0</v>
      </c>
      <c r="AZ48" s="7">
        <f>IFERROR(0,0)</f>
        <v>0</v>
      </c>
      <c r="BA48" s="4">
        <f>IFERROR(AZ48/AZ$31,0)</f>
        <v>0</v>
      </c>
      <c r="BB48" s="7">
        <f>IFERROR(0,0)</f>
        <v>0</v>
      </c>
      <c r="BC48" s="4">
        <f>IFERROR(BB48/BB$31,0)</f>
        <v>0</v>
      </c>
      <c r="BD48" s="7">
        <f>IFERROR(0,0)</f>
        <v>0</v>
      </c>
      <c r="BE48" s="4">
        <f>IFERROR(BD48/BD$31,0)</f>
        <v>0</v>
      </c>
      <c r="BF48" s="7">
        <f>IFERROR(0,0)</f>
        <v>0</v>
      </c>
      <c r="BG48" s="4">
        <f>IFERROR(BF48/BF$31,0)</f>
        <v>0</v>
      </c>
      <c r="BH48" s="7">
        <f>IFERROR(0,0)</f>
        <v>0</v>
      </c>
      <c r="BI48" s="4">
        <f>IFERROR(BH48/BH$31,0)</f>
        <v>0</v>
      </c>
      <c r="BJ48" s="7">
        <f>IFERROR(0,0)</f>
        <v>0</v>
      </c>
      <c r="BK48" s="4">
        <f>IFERROR(BJ48/BJ$31,0)</f>
        <v>0</v>
      </c>
      <c r="BL48" s="7">
        <f>IFERROR(0,0)</f>
        <v>0</v>
      </c>
      <c r="BM48" s="4">
        <f>IFERROR(BL48/BL$31,0)</f>
        <v>0</v>
      </c>
      <c r="BN48" s="7">
        <f>IFERROR(0,0)</f>
        <v>0</v>
      </c>
      <c r="BO48" s="4">
        <f>IFERROR(BN48/BN$31,0)</f>
        <v>0</v>
      </c>
      <c r="BP48" s="7">
        <f>IFERROR(0,0)</f>
        <v>0</v>
      </c>
      <c r="BQ48" s="4">
        <f>IFERROR(BP48/BP$31,0)</f>
        <v>0</v>
      </c>
      <c r="BR48" s="7">
        <f>IFERROR(0,0)</f>
        <v>0</v>
      </c>
      <c r="BS48" s="4">
        <f>IFERROR(BR48/BR$31,0)</f>
        <v>0</v>
      </c>
      <c r="BT48" s="7">
        <f>IFERROR(0,0)</f>
        <v>0</v>
      </c>
      <c r="BU48" s="4">
        <f>IFERROR(BT48/BT$31,0)</f>
        <v>0</v>
      </c>
      <c r="BV48" s="7">
        <f>IFERROR(0,0)</f>
        <v>0</v>
      </c>
      <c r="BW48" s="4">
        <f>IFERROR(BV48/BV$31,0)</f>
        <v>0</v>
      </c>
      <c r="BX48" s="7">
        <f>IFERROR(0,0)</f>
        <v>0</v>
      </c>
      <c r="BY48" s="4">
        <f>IFERROR(BX48/BX$31,0)</f>
        <v>0</v>
      </c>
      <c r="BZ48" s="7">
        <f>IFERROR(0,0)</f>
        <v>0</v>
      </c>
      <c r="CA48" s="4">
        <f>IFERROR(BZ48/BZ$31,0)</f>
        <v>0</v>
      </c>
      <c r="CB48" s="7">
        <f>IFERROR(0,0)</f>
        <v>0</v>
      </c>
      <c r="CC48" s="4">
        <f>IFERROR(CB48/CB$31,0)</f>
        <v>0</v>
      </c>
      <c r="CD48" s="7">
        <f>IFERROR(0,0)</f>
        <v>0</v>
      </c>
      <c r="CE48" s="4">
        <f>IFERROR(CD48/CD$31,0)</f>
        <v>0</v>
      </c>
      <c r="CF48" s="7">
        <f>IFERROR(0,0)</f>
        <v>0</v>
      </c>
      <c r="CG48" s="4">
        <f>IFERROR(CF48/CF$31,0)</f>
        <v>0</v>
      </c>
      <c r="CH48" s="7">
        <f>IFERROR(0,0)</f>
        <v>0</v>
      </c>
      <c r="CI48" s="4">
        <f>IFERROR(CH48/CH$31,0)</f>
        <v>0</v>
      </c>
      <c r="CJ48" s="7">
        <f>IFERROR(0,0)</f>
        <v>0</v>
      </c>
      <c r="CK48" s="4">
        <f>IFERROR(CJ48/CJ$31,0)</f>
        <v>0</v>
      </c>
      <c r="CL48" s="7">
        <f>IFERROR(0,0)</f>
        <v>0</v>
      </c>
      <c r="CM48" s="4">
        <f>IFERROR(CL48/CL$31,0)</f>
        <v>0</v>
      </c>
      <c r="CN48" s="7">
        <f>IFERROR(0,0)</f>
        <v>0</v>
      </c>
      <c r="CO48" s="4">
        <f>IFERROR(CN48/CN$31,0)</f>
        <v>0</v>
      </c>
      <c r="CP48" s="7">
        <f>IFERROR(0,0)</f>
        <v>0</v>
      </c>
      <c r="CQ48" s="4">
        <f>IFERROR(CP48/CP$31,0)</f>
        <v>0</v>
      </c>
      <c r="CR48" s="7">
        <f>IFERROR(0,0)</f>
        <v>0</v>
      </c>
      <c r="CS48" s="4">
        <f>IFERROR(CR48/CR$31,0)</f>
        <v>0</v>
      </c>
      <c r="CT48" s="7">
        <f>IFERROR(0,0)</f>
        <v>0</v>
      </c>
      <c r="CU48" s="4">
        <f>IFERROR(CT48/CT$31,0)</f>
        <v>0</v>
      </c>
      <c r="CV48" s="7">
        <f>IFERROR(0,0)</f>
        <v>0</v>
      </c>
      <c r="CW48" s="4">
        <f>IFERROR(CV48/CV$31,0)</f>
        <v>0</v>
      </c>
      <c r="CX48" s="7">
        <f>IFERROR(0,0)</f>
        <v>0</v>
      </c>
      <c r="CY48" s="4">
        <f>IFERROR(CX48/CX$31,0)</f>
        <v>0</v>
      </c>
      <c r="CZ48" s="7">
        <f>IFERROR(0,0)</f>
        <v>0</v>
      </c>
      <c r="DA48" s="4">
        <f>IFERROR(CZ48/CZ$31,0)</f>
        <v>0</v>
      </c>
      <c r="DB48" s="7">
        <f>IFERROR(0,0)</f>
        <v>0</v>
      </c>
      <c r="DC48" s="4">
        <f>IFERROR(DB48/DB$31,0)</f>
        <v>0</v>
      </c>
      <c r="DD48" s="7">
        <f>SUM(OSRRefD47_0x_0)</f>
        <v>0</v>
      </c>
      <c r="DE48" s="4">
        <f>IFERROR(DD48/DD$31,0)</f>
        <v>0</v>
      </c>
    </row>
    <row r="49" spans="2:110" ht="7.5" customHeight="1" x14ac:dyDescent="0.25">
      <c r="D49" s="7"/>
      <c r="E49" s="6"/>
      <c r="F49" s="7"/>
      <c r="G49" s="6"/>
      <c r="H49" s="7"/>
      <c r="I49" s="6"/>
      <c r="J49" s="7"/>
      <c r="K49" s="6"/>
      <c r="L49" s="7"/>
      <c r="M49" s="6"/>
      <c r="N49" s="7"/>
      <c r="O49" s="6"/>
      <c r="P49" s="7"/>
      <c r="Q49" s="6"/>
      <c r="R49" s="7"/>
      <c r="S49" s="6"/>
      <c r="T49" s="7"/>
      <c r="U49" s="6"/>
      <c r="V49" s="7"/>
      <c r="W49" s="6"/>
      <c r="X49" s="7"/>
      <c r="Y49" s="6"/>
      <c r="Z49" s="7"/>
      <c r="AA49" s="6"/>
      <c r="AB49" s="7"/>
      <c r="AC49" s="6"/>
      <c r="AD49" s="7"/>
      <c r="AE49" s="6"/>
      <c r="AF49" s="7"/>
      <c r="AG49" s="6"/>
      <c r="AH49" s="7"/>
      <c r="AI49" s="6"/>
      <c r="AJ49" s="7"/>
      <c r="AK49" s="6"/>
      <c r="AL49" s="7"/>
      <c r="AM49" s="6"/>
      <c r="AN49" s="7"/>
      <c r="AO49" s="6"/>
      <c r="AP49" s="7"/>
      <c r="AQ49" s="6"/>
      <c r="AR49" s="7"/>
      <c r="AS49" s="6"/>
      <c r="AT49" s="7"/>
      <c r="AU49" s="6"/>
      <c r="AV49" s="7"/>
      <c r="AW49" s="6"/>
      <c r="AX49" s="7"/>
      <c r="AY49" s="6"/>
      <c r="AZ49" s="7"/>
      <c r="BA49" s="6"/>
      <c r="BB49" s="7"/>
      <c r="BC49" s="6"/>
      <c r="BD49" s="7"/>
      <c r="BE49" s="6"/>
      <c r="BF49" s="7"/>
      <c r="BG49" s="6"/>
      <c r="BH49" s="7"/>
      <c r="BI49" s="6"/>
      <c r="BJ49" s="7"/>
      <c r="BK49" s="6"/>
      <c r="BL49" s="7"/>
      <c r="BM49" s="6"/>
      <c r="BN49" s="7"/>
      <c r="BO49" s="6"/>
      <c r="BP49" s="7"/>
      <c r="BQ49" s="6"/>
      <c r="BR49" s="7"/>
      <c r="BS49" s="6"/>
      <c r="BT49" s="7"/>
      <c r="BU49" s="6"/>
      <c r="BV49" s="7"/>
      <c r="BW49" s="6"/>
      <c r="BX49" s="7"/>
      <c r="BY49" s="6"/>
      <c r="BZ49" s="7"/>
      <c r="CA49" s="6"/>
      <c r="CB49" s="7"/>
      <c r="CC49" s="6"/>
      <c r="CD49" s="7"/>
      <c r="CE49" s="6"/>
      <c r="CF49" s="7"/>
      <c r="CG49" s="6"/>
      <c r="CH49" s="7"/>
      <c r="CI49" s="6"/>
      <c r="CJ49" s="7"/>
      <c r="CK49" s="6"/>
      <c r="CL49" s="7"/>
      <c r="CM49" s="6"/>
      <c r="CN49" s="7"/>
      <c r="CO49" s="6"/>
      <c r="CP49" s="7"/>
      <c r="CQ49" s="6"/>
      <c r="CR49" s="7"/>
      <c r="CS49" s="6"/>
      <c r="CT49" s="7"/>
      <c r="CU49" s="6"/>
      <c r="CV49" s="7"/>
      <c r="CW49" s="6"/>
      <c r="CX49" s="7"/>
      <c r="CY49" s="6"/>
      <c r="CZ49" s="7"/>
      <c r="DA49" s="6"/>
      <c r="DB49" s="7"/>
      <c r="DC49" s="6"/>
      <c r="DD49" s="7"/>
      <c r="DE49" s="6"/>
    </row>
    <row r="50" spans="2:110" x14ac:dyDescent="0.25">
      <c r="B50" s="29"/>
      <c r="C50" s="32" t="s">
        <v>28</v>
      </c>
      <c r="D50" s="3">
        <f>SUM(D48:D49)</f>
        <v>0</v>
      </c>
      <c r="E50" s="1">
        <f>IFERROR(D50/D$33,0)</f>
        <v>0</v>
      </c>
      <c r="F50" s="3">
        <f>SUM(F48:F49)</f>
        <v>0</v>
      </c>
      <c r="G50" s="1">
        <f>IFERROR(F50/F$33,0)</f>
        <v>0</v>
      </c>
      <c r="H50" s="3">
        <f>SUM(H48:H49)</f>
        <v>0</v>
      </c>
      <c r="I50" s="1">
        <f>IFERROR(H50/H$33,0)</f>
        <v>0</v>
      </c>
      <c r="J50" s="3">
        <f>SUM(J48:J49)</f>
        <v>0</v>
      </c>
      <c r="K50" s="1">
        <f>IFERROR(J50/J$33,0)</f>
        <v>0</v>
      </c>
      <c r="L50" s="3">
        <f>SUM(L48:L49)</f>
        <v>0</v>
      </c>
      <c r="M50" s="1">
        <f>IFERROR(L50/L$33,0)</f>
        <v>0</v>
      </c>
      <c r="N50" s="3">
        <f>SUM(N48:N49)</f>
        <v>0</v>
      </c>
      <c r="O50" s="1">
        <f>IFERROR(N50/N$33,0)</f>
        <v>0</v>
      </c>
      <c r="P50" s="3">
        <f>SUM(P48:P49)</f>
        <v>0</v>
      </c>
      <c r="Q50" s="1">
        <f>IFERROR(P50/P$33,0)</f>
        <v>0</v>
      </c>
      <c r="R50" s="3">
        <f>SUM(R48:R49)</f>
        <v>0</v>
      </c>
      <c r="S50" s="1">
        <f>IFERROR(R50/R$33,0)</f>
        <v>0</v>
      </c>
      <c r="T50" s="3">
        <f>SUM(T48:T49)</f>
        <v>0</v>
      </c>
      <c r="U50" s="1">
        <f>IFERROR(T50/T$33,0)</f>
        <v>0</v>
      </c>
      <c r="V50" s="3">
        <f>SUM(V48:V49)</f>
        <v>0</v>
      </c>
      <c r="W50" s="1">
        <f>IFERROR(V50/V$33,0)</f>
        <v>0</v>
      </c>
      <c r="X50" s="3">
        <f>SUM(X48:X49)</f>
        <v>0</v>
      </c>
      <c r="Y50" s="1">
        <f>IFERROR(X50/X$33,0)</f>
        <v>0</v>
      </c>
      <c r="Z50" s="3">
        <f>SUM(Z48:Z49)</f>
        <v>0</v>
      </c>
      <c r="AA50" s="1">
        <f>IFERROR(Z50/Z$33,0)</f>
        <v>0</v>
      </c>
      <c r="AB50" s="3">
        <f>SUM(AB48:AB49)</f>
        <v>0</v>
      </c>
      <c r="AC50" s="1">
        <f>IFERROR(AB50/AB$33,0)</f>
        <v>0</v>
      </c>
      <c r="AD50" s="3">
        <f>SUM(AD48:AD49)</f>
        <v>0</v>
      </c>
      <c r="AE50" s="1">
        <f>IFERROR(AD50/AD$33,0)</f>
        <v>0</v>
      </c>
      <c r="AF50" s="3">
        <f>SUM(AF48:AF49)</f>
        <v>0</v>
      </c>
      <c r="AG50" s="1">
        <f>IFERROR(AF50/AF$33,0)</f>
        <v>0</v>
      </c>
      <c r="AH50" s="3">
        <f>SUM(AH48:AH49)</f>
        <v>0</v>
      </c>
      <c r="AI50" s="1">
        <f>IFERROR(AH50/AH$33,0)</f>
        <v>0</v>
      </c>
      <c r="AJ50" s="3">
        <f>SUM(AJ48:AJ49)</f>
        <v>0</v>
      </c>
      <c r="AK50" s="1">
        <f>IFERROR(AJ50/AJ$33,0)</f>
        <v>0</v>
      </c>
      <c r="AL50" s="3">
        <f>SUM(AL48:AL49)</f>
        <v>0</v>
      </c>
      <c r="AM50" s="1">
        <f>IFERROR(AL50/AL$33,0)</f>
        <v>0</v>
      </c>
      <c r="AN50" s="3">
        <f>SUM(AN48:AN49)</f>
        <v>0</v>
      </c>
      <c r="AO50" s="1">
        <f>IFERROR(AN50/AN$33,0)</f>
        <v>0</v>
      </c>
      <c r="AP50" s="3">
        <f>SUM(AP48:AP49)</f>
        <v>0</v>
      </c>
      <c r="AQ50" s="1">
        <f>IFERROR(AP50/AP$33,0)</f>
        <v>0</v>
      </c>
      <c r="AR50" s="3">
        <f>SUM(AR48:AR49)</f>
        <v>0</v>
      </c>
      <c r="AS50" s="1">
        <f>IFERROR(AR50/AR$33,0)</f>
        <v>0</v>
      </c>
      <c r="AT50" s="3">
        <f>SUM(AT48:AT49)</f>
        <v>0</v>
      </c>
      <c r="AU50" s="1">
        <f>IFERROR(AT50/AT$33,0)</f>
        <v>0</v>
      </c>
      <c r="AV50" s="3">
        <f>SUM(AV48:AV49)</f>
        <v>0</v>
      </c>
      <c r="AW50" s="1">
        <f>IFERROR(AV50/AV$33,0)</f>
        <v>0</v>
      </c>
      <c r="AX50" s="3">
        <f>SUM(AX48:AX49)</f>
        <v>0</v>
      </c>
      <c r="AY50" s="1">
        <f>IFERROR(AX50/AX$33,0)</f>
        <v>0</v>
      </c>
      <c r="AZ50" s="3">
        <f>SUM(AZ48:AZ49)</f>
        <v>0</v>
      </c>
      <c r="BA50" s="1">
        <f>IFERROR(AZ50/AZ$33,0)</f>
        <v>0</v>
      </c>
      <c r="BB50" s="3">
        <f>SUM(BB48:BB49)</f>
        <v>0</v>
      </c>
      <c r="BC50" s="1">
        <f>IFERROR(BB50/BB$33,0)</f>
        <v>0</v>
      </c>
      <c r="BD50" s="3">
        <f>SUM(BD48:BD49)</f>
        <v>0</v>
      </c>
      <c r="BE50" s="1">
        <f>IFERROR(BD50/BD$33,0)</f>
        <v>0</v>
      </c>
      <c r="BF50" s="3">
        <f>SUM(BF48:BF49)</f>
        <v>0</v>
      </c>
      <c r="BG50" s="1">
        <f>IFERROR(BF50/BF$33,0)</f>
        <v>0</v>
      </c>
      <c r="BH50" s="3">
        <f>SUM(BH48:BH49)</f>
        <v>0</v>
      </c>
      <c r="BI50" s="1">
        <f>IFERROR(BH50/BH$33,0)</f>
        <v>0</v>
      </c>
      <c r="BJ50" s="3">
        <f>SUM(BJ48:BJ49)</f>
        <v>0</v>
      </c>
      <c r="BK50" s="1">
        <f>IFERROR(BJ50/BJ$33,0)</f>
        <v>0</v>
      </c>
      <c r="BL50" s="3">
        <f>SUM(BL48:BL49)</f>
        <v>0</v>
      </c>
      <c r="BM50" s="1">
        <f>IFERROR(BL50/BL$33,0)</f>
        <v>0</v>
      </c>
      <c r="BN50" s="3">
        <f>SUM(BN48:BN49)</f>
        <v>0</v>
      </c>
      <c r="BO50" s="1">
        <f>IFERROR(BN50/BN$33,0)</f>
        <v>0</v>
      </c>
      <c r="BP50" s="3">
        <f>SUM(BP48:BP49)</f>
        <v>0</v>
      </c>
      <c r="BQ50" s="1">
        <f>IFERROR(BP50/BP$33,0)</f>
        <v>0</v>
      </c>
      <c r="BR50" s="3">
        <f>SUM(BR48:BR49)</f>
        <v>0</v>
      </c>
      <c r="BS50" s="1">
        <f>IFERROR(BR50/BR$33,0)</f>
        <v>0</v>
      </c>
      <c r="BT50" s="3">
        <f>SUM(BT48:BT49)</f>
        <v>0</v>
      </c>
      <c r="BU50" s="1">
        <f>IFERROR(BT50/BT$33,0)</f>
        <v>0</v>
      </c>
      <c r="BV50" s="3">
        <f>SUM(BV48:BV49)</f>
        <v>0</v>
      </c>
      <c r="BW50" s="1">
        <f>IFERROR(BV50/BV$33,0)</f>
        <v>0</v>
      </c>
      <c r="BX50" s="3">
        <f>SUM(BX48:BX49)</f>
        <v>0</v>
      </c>
      <c r="BY50" s="1">
        <f>IFERROR(BX50/BX$33,0)</f>
        <v>0</v>
      </c>
      <c r="BZ50" s="3">
        <f>SUM(BZ48:BZ49)</f>
        <v>0</v>
      </c>
      <c r="CA50" s="1">
        <f>IFERROR(BZ50/BZ$33,0)</f>
        <v>0</v>
      </c>
      <c r="CB50" s="3">
        <f>SUM(CB48:CB49)</f>
        <v>0</v>
      </c>
      <c r="CC50" s="1">
        <f>IFERROR(CB50/CB$33,0)</f>
        <v>0</v>
      </c>
      <c r="CD50" s="3">
        <f>SUM(CD48:CD49)</f>
        <v>0</v>
      </c>
      <c r="CE50" s="1">
        <f>IFERROR(CD50/CD$33,0)</f>
        <v>0</v>
      </c>
      <c r="CF50" s="3">
        <f>SUM(CF48:CF49)</f>
        <v>0</v>
      </c>
      <c r="CG50" s="1">
        <f>IFERROR(CF50/CF$33,0)</f>
        <v>0</v>
      </c>
      <c r="CH50" s="3">
        <f>SUM(CH48:CH49)</f>
        <v>0</v>
      </c>
      <c r="CI50" s="1">
        <f>IFERROR(CH50/CH$33,0)</f>
        <v>0</v>
      </c>
      <c r="CJ50" s="3">
        <f>SUM(CJ48:CJ49)</f>
        <v>0</v>
      </c>
      <c r="CK50" s="1">
        <f>IFERROR(CJ50/CJ$33,0)</f>
        <v>0</v>
      </c>
      <c r="CL50" s="3">
        <f>SUM(CL48:CL49)</f>
        <v>0</v>
      </c>
      <c r="CM50" s="1">
        <f>IFERROR(CL50/CL$33,0)</f>
        <v>0</v>
      </c>
      <c r="CN50" s="3">
        <f>SUM(CN48:CN49)</f>
        <v>0</v>
      </c>
      <c r="CO50" s="1">
        <f>IFERROR(CN50/CN$33,0)</f>
        <v>0</v>
      </c>
      <c r="CP50" s="3">
        <f>SUM(CP48:CP49)</f>
        <v>0</v>
      </c>
      <c r="CQ50" s="1">
        <f>IFERROR(CP50/CP$33,0)</f>
        <v>0</v>
      </c>
      <c r="CR50" s="3">
        <f>SUM(CR48:CR49)</f>
        <v>0</v>
      </c>
      <c r="CS50" s="1">
        <f>IFERROR(CR50/CR$33,0)</f>
        <v>0</v>
      </c>
      <c r="CT50" s="3">
        <f>SUM(CT48:CT49)</f>
        <v>0</v>
      </c>
      <c r="CU50" s="1">
        <f>IFERROR(CT50/CT$33,0)</f>
        <v>0</v>
      </c>
      <c r="CV50" s="3">
        <f>SUM(CV48:CV49)</f>
        <v>0</v>
      </c>
      <c r="CW50" s="1">
        <f>IFERROR(CV50/CV$33,0)</f>
        <v>0</v>
      </c>
      <c r="CX50" s="3">
        <f>SUM(CX48:CX49)</f>
        <v>0</v>
      </c>
      <c r="CY50" s="1">
        <f>IFERROR(CX50/CX$33,0)</f>
        <v>0</v>
      </c>
      <c r="CZ50" s="3">
        <f>SUM(CZ48:CZ49)</f>
        <v>0</v>
      </c>
      <c r="DA50" s="1">
        <f>IFERROR(CZ50/CZ$33,0)</f>
        <v>0</v>
      </c>
      <c r="DB50" s="3">
        <f>SUM(DB48:DB49)</f>
        <v>0</v>
      </c>
      <c r="DC50" s="1">
        <f>IFERROR(DB50/DB$33,0)</f>
        <v>0</v>
      </c>
      <c r="DD50" s="3">
        <f>SUM(OSRRefD49x_0)</f>
        <v>0</v>
      </c>
      <c r="DE50" s="1">
        <f>IFERROR(DD50/DD$33,0)</f>
        <v>0</v>
      </c>
      <c r="DF50" s="28"/>
    </row>
    <row r="51" spans="2:110" x14ac:dyDescent="0.25">
      <c r="B51" s="29"/>
      <c r="C51" s="36"/>
      <c r="D51" s="8"/>
      <c r="E51" s="10"/>
      <c r="F51" s="8"/>
      <c r="G51" s="10"/>
      <c r="H51" s="8"/>
      <c r="I51" s="10"/>
      <c r="J51" s="8"/>
      <c r="K51" s="10"/>
      <c r="L51" s="8"/>
      <c r="M51" s="10"/>
      <c r="N51" s="8"/>
      <c r="O51" s="10"/>
      <c r="P51" s="8"/>
      <c r="Q51" s="10"/>
      <c r="R51" s="8"/>
      <c r="S51" s="10"/>
      <c r="T51" s="8"/>
      <c r="U51" s="10"/>
      <c r="V51" s="8"/>
      <c r="W51" s="10"/>
      <c r="X51" s="8"/>
      <c r="Y51" s="10"/>
      <c r="Z51" s="8"/>
      <c r="AA51" s="10"/>
      <c r="AB51" s="8"/>
      <c r="AC51" s="10"/>
      <c r="AD51" s="8"/>
      <c r="AE51" s="10"/>
      <c r="AF51" s="8"/>
      <c r="AG51" s="10"/>
      <c r="AH51" s="8"/>
      <c r="AI51" s="10"/>
      <c r="AJ51" s="8"/>
      <c r="AK51" s="10"/>
      <c r="AL51" s="8"/>
      <c r="AM51" s="10"/>
      <c r="AN51" s="8"/>
      <c r="AO51" s="10"/>
      <c r="AP51" s="8"/>
      <c r="AQ51" s="10"/>
      <c r="AR51" s="8"/>
      <c r="AS51" s="10"/>
      <c r="AT51" s="8"/>
      <c r="AU51" s="10"/>
      <c r="AV51" s="8"/>
      <c r="AW51" s="10"/>
      <c r="AX51" s="8"/>
      <c r="AY51" s="10"/>
      <c r="AZ51" s="8"/>
      <c r="BA51" s="10"/>
      <c r="BB51" s="8"/>
      <c r="BC51" s="10"/>
      <c r="BD51" s="8"/>
      <c r="BE51" s="10"/>
      <c r="BF51" s="8"/>
      <c r="BG51" s="10"/>
      <c r="BH51" s="8"/>
      <c r="BI51" s="10"/>
      <c r="BJ51" s="8"/>
      <c r="BK51" s="10"/>
      <c r="BL51" s="8"/>
      <c r="BM51" s="10"/>
      <c r="BN51" s="8"/>
      <c r="BO51" s="10"/>
      <c r="BP51" s="8"/>
      <c r="BQ51" s="10"/>
      <c r="BR51" s="8"/>
      <c r="BS51" s="10"/>
      <c r="BT51" s="8"/>
      <c r="BU51" s="10"/>
      <c r="BV51" s="8"/>
      <c r="BW51" s="10"/>
      <c r="BX51" s="8"/>
      <c r="BY51" s="10"/>
      <c r="BZ51" s="8"/>
      <c r="CA51" s="10"/>
      <c r="CB51" s="8"/>
      <c r="CC51" s="10"/>
      <c r="CD51" s="8"/>
      <c r="CE51" s="10"/>
      <c r="CF51" s="8"/>
      <c r="CG51" s="10"/>
      <c r="CH51" s="8"/>
      <c r="CI51" s="10"/>
      <c r="CJ51" s="8"/>
      <c r="CK51" s="10"/>
      <c r="CL51" s="8"/>
      <c r="CM51" s="10"/>
      <c r="CN51" s="8"/>
      <c r="CO51" s="10"/>
      <c r="CP51" s="8"/>
      <c r="CQ51" s="10"/>
      <c r="CR51" s="8"/>
      <c r="CS51" s="10"/>
      <c r="CT51" s="8"/>
      <c r="CU51" s="10"/>
      <c r="CV51" s="8"/>
      <c r="CW51" s="10"/>
      <c r="CX51" s="8"/>
      <c r="CY51" s="10"/>
      <c r="CZ51" s="8"/>
      <c r="DA51" s="10"/>
      <c r="DB51" s="8"/>
      <c r="DC51" s="10"/>
      <c r="DD51" s="8"/>
      <c r="DE51" s="10"/>
      <c r="DF51" s="28"/>
    </row>
    <row r="52" spans="2:110" x14ac:dyDescent="0.25">
      <c r="B52" s="29"/>
      <c r="C52" s="36"/>
      <c r="D52" s="8"/>
      <c r="E52" s="10"/>
      <c r="F52" s="8"/>
      <c r="G52" s="10"/>
      <c r="H52" s="8"/>
      <c r="I52" s="10"/>
      <c r="J52" s="8"/>
      <c r="K52" s="10"/>
      <c r="L52" s="8"/>
      <c r="M52" s="10"/>
      <c r="N52" s="8"/>
      <c r="O52" s="10"/>
      <c r="P52" s="8"/>
      <c r="Q52" s="10"/>
      <c r="R52" s="8"/>
      <c r="S52" s="10"/>
      <c r="T52" s="8"/>
      <c r="U52" s="10"/>
      <c r="V52" s="8"/>
      <c r="W52" s="10"/>
      <c r="X52" s="8"/>
      <c r="Y52" s="10"/>
      <c r="Z52" s="8"/>
      <c r="AA52" s="10"/>
      <c r="AB52" s="8"/>
      <c r="AC52" s="10"/>
      <c r="AD52" s="8"/>
      <c r="AE52" s="10"/>
      <c r="AF52" s="8"/>
      <c r="AG52" s="10"/>
      <c r="AH52" s="8"/>
      <c r="AI52" s="10"/>
      <c r="AJ52" s="8"/>
      <c r="AK52" s="10"/>
      <c r="AL52" s="8"/>
      <c r="AM52" s="10"/>
      <c r="AN52" s="8"/>
      <c r="AO52" s="10"/>
      <c r="AP52" s="8"/>
      <c r="AQ52" s="10"/>
      <c r="AR52" s="8"/>
      <c r="AS52" s="10"/>
      <c r="AT52" s="8"/>
      <c r="AU52" s="10"/>
      <c r="AV52" s="8"/>
      <c r="AW52" s="10"/>
      <c r="AX52" s="8"/>
      <c r="AY52" s="10"/>
      <c r="AZ52" s="8"/>
      <c r="BA52" s="10"/>
      <c r="BB52" s="8"/>
      <c r="BC52" s="10"/>
      <c r="BD52" s="8"/>
      <c r="BE52" s="10"/>
      <c r="BF52" s="8"/>
      <c r="BG52" s="10"/>
      <c r="BH52" s="8"/>
      <c r="BI52" s="10"/>
      <c r="BJ52" s="8"/>
      <c r="BK52" s="10"/>
      <c r="BL52" s="8"/>
      <c r="BM52" s="10"/>
      <c r="BN52" s="8"/>
      <c r="BO52" s="10"/>
      <c r="BP52" s="8"/>
      <c r="BQ52" s="10"/>
      <c r="BR52" s="8"/>
      <c r="BS52" s="10"/>
      <c r="BT52" s="8"/>
      <c r="BU52" s="10"/>
      <c r="BV52" s="8"/>
      <c r="BW52" s="10"/>
      <c r="BX52" s="8"/>
      <c r="BY52" s="10"/>
      <c r="BZ52" s="8"/>
      <c r="CA52" s="10"/>
      <c r="CB52" s="8"/>
      <c r="CC52" s="10"/>
      <c r="CD52" s="8"/>
      <c r="CE52" s="10"/>
      <c r="CF52" s="8"/>
      <c r="CG52" s="10"/>
      <c r="CH52" s="8"/>
      <c r="CI52" s="10"/>
      <c r="CJ52" s="8"/>
      <c r="CK52" s="10"/>
      <c r="CL52" s="8"/>
      <c r="CM52" s="10"/>
      <c r="CN52" s="8"/>
      <c r="CO52" s="10"/>
      <c r="CP52" s="8"/>
      <c r="CQ52" s="10"/>
      <c r="CR52" s="8"/>
      <c r="CS52" s="10"/>
      <c r="CT52" s="8"/>
      <c r="CU52" s="10"/>
      <c r="CV52" s="8"/>
      <c r="CW52" s="10"/>
      <c r="CX52" s="8"/>
      <c r="CY52" s="10"/>
      <c r="CZ52" s="8"/>
      <c r="DA52" s="10"/>
      <c r="DB52" s="8"/>
      <c r="DC52" s="10"/>
      <c r="DD52" s="8"/>
      <c r="DE52" s="10"/>
      <c r="DF52" s="28"/>
    </row>
    <row r="53" spans="2:110" x14ac:dyDescent="0.25">
      <c r="B53" s="29"/>
      <c r="C53" s="32" t="s">
        <v>29</v>
      </c>
      <c r="D53" s="3">
        <f>D46-D50</f>
        <v>0</v>
      </c>
      <c r="E53" s="1">
        <f>IFERROR(D53/D$33,0)</f>
        <v>0</v>
      </c>
      <c r="F53" s="3">
        <f>F46-F50</f>
        <v>0</v>
      </c>
      <c r="G53" s="1">
        <f>IFERROR(F53/F$33,0)</f>
        <v>0</v>
      </c>
      <c r="H53" s="3">
        <f>H46-H50</f>
        <v>0</v>
      </c>
      <c r="I53" s="1">
        <f>IFERROR(H53/H$33,0)</f>
        <v>0</v>
      </c>
      <c r="J53" s="3">
        <f>J46-J50</f>
        <v>0</v>
      </c>
      <c r="K53" s="1">
        <f>IFERROR(J53/J$33,0)</f>
        <v>0</v>
      </c>
      <c r="L53" s="3">
        <f>L46-L50</f>
        <v>0</v>
      </c>
      <c r="M53" s="1">
        <f>IFERROR(L53/L$33,0)</f>
        <v>0</v>
      </c>
      <c r="N53" s="3">
        <f>N46-N50</f>
        <v>0</v>
      </c>
      <c r="O53" s="1">
        <f>IFERROR(N53/N$33,0)</f>
        <v>0</v>
      </c>
      <c r="P53" s="3">
        <f>P46-P50</f>
        <v>0</v>
      </c>
      <c r="Q53" s="1">
        <f>IFERROR(P53/P$33,0)</f>
        <v>0</v>
      </c>
      <c r="R53" s="3">
        <f>R46-R50</f>
        <v>0</v>
      </c>
      <c r="S53" s="1">
        <f>IFERROR(R53/R$33,0)</f>
        <v>0</v>
      </c>
      <c r="T53" s="3">
        <f>T46-T50</f>
        <v>0</v>
      </c>
      <c r="U53" s="1">
        <f>IFERROR(T53/T$33,0)</f>
        <v>0</v>
      </c>
      <c r="V53" s="3">
        <f>V46-V50</f>
        <v>0</v>
      </c>
      <c r="W53" s="1">
        <f>IFERROR(V53/V$33,0)</f>
        <v>0</v>
      </c>
      <c r="X53" s="3">
        <f>X46-X50</f>
        <v>0</v>
      </c>
      <c r="Y53" s="1">
        <f>IFERROR(X53/X$33,0)</f>
        <v>0</v>
      </c>
      <c r="Z53" s="3">
        <f>Z46-Z50</f>
        <v>0</v>
      </c>
      <c r="AA53" s="1">
        <f>IFERROR(Z53/Z$33,0)</f>
        <v>0</v>
      </c>
      <c r="AB53" s="3">
        <f>AB46-AB50</f>
        <v>0</v>
      </c>
      <c r="AC53" s="1">
        <f>IFERROR(AB53/AB$33,0)</f>
        <v>0</v>
      </c>
      <c r="AD53" s="3">
        <f>AD46-AD50</f>
        <v>0</v>
      </c>
      <c r="AE53" s="1">
        <f>IFERROR(AD53/AD$33,0)</f>
        <v>0</v>
      </c>
      <c r="AF53" s="3">
        <f>AF46-AF50</f>
        <v>0</v>
      </c>
      <c r="AG53" s="1">
        <f>IFERROR(AF53/AF$33,0)</f>
        <v>0</v>
      </c>
      <c r="AH53" s="3">
        <f>AH46-AH50</f>
        <v>0</v>
      </c>
      <c r="AI53" s="1">
        <f>IFERROR(AH53/AH$33,0)</f>
        <v>0</v>
      </c>
      <c r="AJ53" s="3">
        <f>AJ46-AJ50</f>
        <v>0</v>
      </c>
      <c r="AK53" s="1">
        <f>IFERROR(AJ53/AJ$33,0)</f>
        <v>0</v>
      </c>
      <c r="AL53" s="3">
        <f>AL46-AL50</f>
        <v>0</v>
      </c>
      <c r="AM53" s="1">
        <f>IFERROR(AL53/AL$33,0)</f>
        <v>0</v>
      </c>
      <c r="AN53" s="3">
        <f>AN46-AN50</f>
        <v>0</v>
      </c>
      <c r="AO53" s="1">
        <f>IFERROR(AN53/AN$33,0)</f>
        <v>0</v>
      </c>
      <c r="AP53" s="3">
        <f>AP46-AP50</f>
        <v>0</v>
      </c>
      <c r="AQ53" s="1">
        <f>IFERROR(AP53/AP$33,0)</f>
        <v>0</v>
      </c>
      <c r="AR53" s="3">
        <f>AR46-AR50</f>
        <v>0</v>
      </c>
      <c r="AS53" s="1">
        <f>IFERROR(AR53/AR$33,0)</f>
        <v>0</v>
      </c>
      <c r="AT53" s="3">
        <f>AT46-AT50</f>
        <v>0</v>
      </c>
      <c r="AU53" s="1">
        <f>IFERROR(AT53/AT$33,0)</f>
        <v>0</v>
      </c>
      <c r="AV53" s="3">
        <f>AV46-AV50</f>
        <v>0</v>
      </c>
      <c r="AW53" s="1">
        <f>IFERROR(AV53/AV$33,0)</f>
        <v>0</v>
      </c>
      <c r="AX53" s="3">
        <f>AX46-AX50</f>
        <v>0</v>
      </c>
      <c r="AY53" s="1">
        <f>IFERROR(AX53/AX$33,0)</f>
        <v>0</v>
      </c>
      <c r="AZ53" s="3">
        <f>AZ46-AZ50</f>
        <v>0</v>
      </c>
      <c r="BA53" s="1">
        <f>IFERROR(AZ53/AZ$33,0)</f>
        <v>0</v>
      </c>
      <c r="BB53" s="3">
        <f>BB46-BB50</f>
        <v>0</v>
      </c>
      <c r="BC53" s="1">
        <f>IFERROR(BB53/BB$33,0)</f>
        <v>0</v>
      </c>
      <c r="BD53" s="3">
        <f>BD46-BD50</f>
        <v>0</v>
      </c>
      <c r="BE53" s="1">
        <f>IFERROR(BD53/BD$33,0)</f>
        <v>0</v>
      </c>
      <c r="BF53" s="3">
        <f>BF46-BF50</f>
        <v>0</v>
      </c>
      <c r="BG53" s="1">
        <f>IFERROR(BF53/BF$33,0)</f>
        <v>0</v>
      </c>
      <c r="BH53" s="3">
        <f>BH46-BH50</f>
        <v>0</v>
      </c>
      <c r="BI53" s="1">
        <f>IFERROR(BH53/BH$33,0)</f>
        <v>0</v>
      </c>
      <c r="BJ53" s="3">
        <f>BJ46-BJ50</f>
        <v>0</v>
      </c>
      <c r="BK53" s="1">
        <f>IFERROR(BJ53/BJ$33,0)</f>
        <v>0</v>
      </c>
      <c r="BL53" s="3">
        <f>BL46-BL50</f>
        <v>0</v>
      </c>
      <c r="BM53" s="1">
        <f>IFERROR(BL53/BL$33,0)</f>
        <v>0</v>
      </c>
      <c r="BN53" s="3">
        <f>BN46-BN50</f>
        <v>0</v>
      </c>
      <c r="BO53" s="1">
        <f>IFERROR(BN53/BN$33,0)</f>
        <v>0</v>
      </c>
      <c r="BP53" s="3">
        <f>BP46-BP50</f>
        <v>0</v>
      </c>
      <c r="BQ53" s="1">
        <f>IFERROR(BP53/BP$33,0)</f>
        <v>0</v>
      </c>
      <c r="BR53" s="3">
        <f>BR46-BR50</f>
        <v>0</v>
      </c>
      <c r="BS53" s="1">
        <f>IFERROR(BR53/BR$33,0)</f>
        <v>0</v>
      </c>
      <c r="BT53" s="3">
        <f>BT46-BT50</f>
        <v>0</v>
      </c>
      <c r="BU53" s="1">
        <f>IFERROR(BT53/BT$33,0)</f>
        <v>0</v>
      </c>
      <c r="BV53" s="3">
        <f>BV46-BV50</f>
        <v>0</v>
      </c>
      <c r="BW53" s="1">
        <f>IFERROR(BV53/BV$33,0)</f>
        <v>0</v>
      </c>
      <c r="BX53" s="3">
        <f>BX46-BX50</f>
        <v>0</v>
      </c>
      <c r="BY53" s="1">
        <f>IFERROR(BX53/BX$33,0)</f>
        <v>0</v>
      </c>
      <c r="BZ53" s="3">
        <f>BZ46-BZ50</f>
        <v>0</v>
      </c>
      <c r="CA53" s="1">
        <f>IFERROR(BZ53/BZ$33,0)</f>
        <v>0</v>
      </c>
      <c r="CB53" s="3">
        <f>CB46-CB50</f>
        <v>0</v>
      </c>
      <c r="CC53" s="1">
        <f>IFERROR(CB53/CB$33,0)</f>
        <v>0</v>
      </c>
      <c r="CD53" s="3">
        <f>CD46-CD50</f>
        <v>0</v>
      </c>
      <c r="CE53" s="1">
        <f>IFERROR(CD53/CD$33,0)</f>
        <v>0</v>
      </c>
      <c r="CF53" s="3">
        <f>CF46-CF50</f>
        <v>0</v>
      </c>
      <c r="CG53" s="1">
        <f>IFERROR(CF53/CF$33,0)</f>
        <v>0</v>
      </c>
      <c r="CH53" s="3">
        <f>CH46-CH50</f>
        <v>0</v>
      </c>
      <c r="CI53" s="1">
        <f>IFERROR(CH53/CH$33,0)</f>
        <v>0</v>
      </c>
      <c r="CJ53" s="3">
        <f>CJ46-CJ50</f>
        <v>0</v>
      </c>
      <c r="CK53" s="1">
        <f>IFERROR(CJ53/CJ$33,0)</f>
        <v>0</v>
      </c>
      <c r="CL53" s="3">
        <f>CL46-CL50</f>
        <v>0</v>
      </c>
      <c r="CM53" s="1">
        <f>IFERROR(CL53/CL$33,0)</f>
        <v>0</v>
      </c>
      <c r="CN53" s="3">
        <f>CN46-CN50</f>
        <v>0</v>
      </c>
      <c r="CO53" s="1">
        <f>IFERROR(CN53/CN$33,0)</f>
        <v>0</v>
      </c>
      <c r="CP53" s="3">
        <f>CP46-CP50</f>
        <v>0</v>
      </c>
      <c r="CQ53" s="1">
        <f>IFERROR(CP53/CP$33,0)</f>
        <v>0</v>
      </c>
      <c r="CR53" s="3">
        <f>CR46-CR50</f>
        <v>0</v>
      </c>
      <c r="CS53" s="1">
        <f>IFERROR(CR53/CR$33,0)</f>
        <v>0</v>
      </c>
      <c r="CT53" s="3">
        <f>CT46-CT50</f>
        <v>0</v>
      </c>
      <c r="CU53" s="1">
        <f>IFERROR(CT53/CT$33,0)</f>
        <v>0</v>
      </c>
      <c r="CV53" s="3">
        <f>CV46-CV50</f>
        <v>0</v>
      </c>
      <c r="CW53" s="1">
        <f>IFERROR(CV53/CV$33,0)</f>
        <v>0</v>
      </c>
      <c r="CX53" s="3">
        <f>CX46-CX50</f>
        <v>0</v>
      </c>
      <c r="CY53" s="1">
        <f>IFERROR(CX53/CX$33,0)</f>
        <v>0</v>
      </c>
      <c r="CZ53" s="3">
        <f>CZ46-CZ50</f>
        <v>0</v>
      </c>
      <c r="DA53" s="1">
        <f>IFERROR(CZ53/CZ$33,0)</f>
        <v>0</v>
      </c>
      <c r="DB53" s="3">
        <f>DB46-DB50</f>
        <v>0</v>
      </c>
      <c r="DC53" s="1">
        <f>IFERROR(DB53/DB$33,0)</f>
        <v>0</v>
      </c>
      <c r="DD53" s="3">
        <f>SUM(OSRRefD52x_0)</f>
        <v>0</v>
      </c>
      <c r="DE53" s="1">
        <f>IFERROR(DD53/DD$33,0)</f>
        <v>0</v>
      </c>
      <c r="DF53" s="28"/>
    </row>
    <row r="54" spans="2:110" x14ac:dyDescent="0.25">
      <c r="B54" s="29"/>
      <c r="C54" s="36"/>
      <c r="D54" s="8"/>
      <c r="E54" s="10"/>
      <c r="F54" s="8"/>
      <c r="G54" s="10"/>
      <c r="H54" s="8"/>
      <c r="I54" s="10"/>
      <c r="J54" s="8"/>
      <c r="K54" s="10"/>
      <c r="L54" s="8"/>
      <c r="M54" s="10"/>
      <c r="N54" s="8"/>
      <c r="O54" s="10"/>
      <c r="P54" s="8"/>
      <c r="Q54" s="10"/>
      <c r="R54" s="8"/>
      <c r="S54" s="10"/>
      <c r="T54" s="8"/>
      <c r="U54" s="10"/>
      <c r="V54" s="8"/>
      <c r="W54" s="10"/>
      <c r="X54" s="8"/>
      <c r="Y54" s="10"/>
      <c r="Z54" s="8"/>
      <c r="AA54" s="10"/>
      <c r="AB54" s="8"/>
      <c r="AC54" s="10"/>
      <c r="AD54" s="8"/>
      <c r="AE54" s="10"/>
      <c r="AF54" s="8"/>
      <c r="AG54" s="10"/>
      <c r="AH54" s="8"/>
      <c r="AI54" s="10"/>
      <c r="AJ54" s="8"/>
      <c r="AK54" s="10"/>
      <c r="AL54" s="8"/>
      <c r="AM54" s="10"/>
      <c r="AN54" s="8"/>
      <c r="AO54" s="10"/>
      <c r="AP54" s="8"/>
      <c r="AQ54" s="10"/>
      <c r="AR54" s="8"/>
      <c r="AS54" s="10"/>
      <c r="AT54" s="8"/>
      <c r="AU54" s="10"/>
      <c r="AV54" s="8"/>
      <c r="AW54" s="10"/>
      <c r="AX54" s="8"/>
      <c r="AY54" s="10"/>
      <c r="AZ54" s="8"/>
      <c r="BA54" s="10"/>
      <c r="BB54" s="8"/>
      <c r="BC54" s="10"/>
      <c r="BD54" s="8"/>
      <c r="BE54" s="10"/>
      <c r="BF54" s="8"/>
      <c r="BG54" s="10"/>
      <c r="BH54" s="8"/>
      <c r="BI54" s="10"/>
      <c r="BJ54" s="8"/>
      <c r="BK54" s="10"/>
      <c r="BL54" s="8"/>
      <c r="BM54" s="10"/>
      <c r="BN54" s="8"/>
      <c r="BO54" s="10"/>
      <c r="BP54" s="8"/>
      <c r="BQ54" s="10"/>
      <c r="BR54" s="8"/>
      <c r="BS54" s="10"/>
      <c r="BT54" s="8"/>
      <c r="BU54" s="10"/>
      <c r="BV54" s="8"/>
      <c r="BW54" s="10"/>
      <c r="BX54" s="8"/>
      <c r="BY54" s="10"/>
      <c r="BZ54" s="8"/>
      <c r="CA54" s="10"/>
      <c r="CB54" s="8"/>
      <c r="CC54" s="10"/>
      <c r="CD54" s="8"/>
      <c r="CE54" s="10"/>
      <c r="CF54" s="8"/>
      <c r="CG54" s="10"/>
      <c r="CH54" s="8"/>
      <c r="CI54" s="10"/>
      <c r="CJ54" s="8"/>
      <c r="CK54" s="10"/>
      <c r="CL54" s="8"/>
      <c r="CM54" s="10"/>
      <c r="CN54" s="8"/>
      <c r="CO54" s="10"/>
      <c r="CP54" s="8"/>
      <c r="CQ54" s="10"/>
      <c r="CR54" s="8"/>
      <c r="CS54" s="10"/>
      <c r="CT54" s="8"/>
      <c r="CU54" s="10"/>
      <c r="CV54" s="8"/>
      <c r="CW54" s="10"/>
      <c r="CX54" s="8"/>
      <c r="CY54" s="10"/>
      <c r="CZ54" s="8"/>
      <c r="DA54" s="10"/>
      <c r="DB54" s="8"/>
      <c r="DC54" s="10"/>
      <c r="DD54" s="8"/>
      <c r="DE54" s="10"/>
      <c r="DF54" s="28"/>
    </row>
    <row r="55" spans="2:110" x14ac:dyDescent="0.25">
      <c r="B55" s="29"/>
      <c r="C55" s="36"/>
      <c r="D55" s="8"/>
      <c r="E55" s="10"/>
      <c r="F55" s="8"/>
      <c r="G55" s="10"/>
      <c r="H55" s="8"/>
      <c r="I55" s="10"/>
      <c r="J55" s="8"/>
      <c r="K55" s="10"/>
      <c r="L55" s="8"/>
      <c r="M55" s="10"/>
      <c r="N55" s="8"/>
      <c r="O55" s="10"/>
      <c r="P55" s="8"/>
      <c r="Q55" s="10"/>
      <c r="R55" s="8"/>
      <c r="S55" s="10"/>
      <c r="T55" s="8"/>
      <c r="U55" s="10"/>
      <c r="V55" s="8"/>
      <c r="W55" s="10"/>
      <c r="X55" s="8"/>
      <c r="Y55" s="10"/>
      <c r="Z55" s="8"/>
      <c r="AA55" s="10"/>
      <c r="AB55" s="8"/>
      <c r="AC55" s="10"/>
      <c r="AD55" s="8"/>
      <c r="AE55" s="10"/>
      <c r="AF55" s="8"/>
      <c r="AG55" s="10"/>
      <c r="AH55" s="8"/>
      <c r="AI55" s="10"/>
      <c r="AJ55" s="8"/>
      <c r="AK55" s="10"/>
      <c r="AL55" s="8"/>
      <c r="AM55" s="10"/>
      <c r="AN55" s="8"/>
      <c r="AO55" s="10"/>
      <c r="AP55" s="8"/>
      <c r="AQ55" s="10"/>
      <c r="AR55" s="8"/>
      <c r="AS55" s="10"/>
      <c r="AT55" s="8"/>
      <c r="AU55" s="10"/>
      <c r="AV55" s="8"/>
      <c r="AW55" s="10"/>
      <c r="AX55" s="8"/>
      <c r="AY55" s="10"/>
      <c r="AZ55" s="8"/>
      <c r="BA55" s="10"/>
      <c r="BB55" s="8"/>
      <c r="BC55" s="10"/>
      <c r="BD55" s="8"/>
      <c r="BE55" s="10"/>
      <c r="BF55" s="8"/>
      <c r="BG55" s="10"/>
      <c r="BH55" s="8"/>
      <c r="BI55" s="10"/>
      <c r="BJ55" s="8"/>
      <c r="BK55" s="10"/>
      <c r="BL55" s="8"/>
      <c r="BM55" s="10"/>
      <c r="BN55" s="8"/>
      <c r="BO55" s="10"/>
      <c r="BP55" s="8"/>
      <c r="BQ55" s="10"/>
      <c r="BR55" s="8"/>
      <c r="BS55" s="10"/>
      <c r="BT55" s="8"/>
      <c r="BU55" s="10"/>
      <c r="BV55" s="8"/>
      <c r="BW55" s="10"/>
      <c r="BX55" s="8"/>
      <c r="BY55" s="10"/>
      <c r="BZ55" s="8"/>
      <c r="CA55" s="10"/>
      <c r="CB55" s="8"/>
      <c r="CC55" s="10"/>
      <c r="CD55" s="8"/>
      <c r="CE55" s="10"/>
      <c r="CF55" s="8"/>
      <c r="CG55" s="10"/>
      <c r="CH55" s="8"/>
      <c r="CI55" s="10"/>
      <c r="CJ55" s="8"/>
      <c r="CK55" s="10"/>
      <c r="CL55" s="8"/>
      <c r="CM55" s="10"/>
      <c r="CN55" s="8"/>
      <c r="CO55" s="10"/>
      <c r="CP55" s="8"/>
      <c r="CQ55" s="10"/>
      <c r="CR55" s="8"/>
      <c r="CS55" s="10"/>
      <c r="CT55" s="8"/>
      <c r="CU55" s="10"/>
      <c r="CV55" s="8"/>
      <c r="CW55" s="10"/>
      <c r="CX55" s="8"/>
      <c r="CY55" s="10"/>
      <c r="CZ55" s="8"/>
      <c r="DA55" s="10"/>
      <c r="DB55" s="8"/>
      <c r="DC55" s="10"/>
      <c r="DD55" s="8"/>
      <c r="DE55" s="10"/>
      <c r="DF55" s="28"/>
    </row>
    <row r="56" spans="2:110" x14ac:dyDescent="0.25">
      <c r="B56" s="29"/>
      <c r="C56" s="44" t="s">
        <v>22</v>
      </c>
      <c r="D56" s="20">
        <f>SUM(D40,D19,D50)</f>
        <v>11108</v>
      </c>
      <c r="E56" s="4">
        <f t="shared" ref="E56:E57" si="159">IFERROR(D56/D$11,0)</f>
        <v>0.2941971025240353</v>
      </c>
      <c r="F56" s="20">
        <f>SUM(F40,F19,F50)</f>
        <v>11135</v>
      </c>
      <c r="G56" s="4">
        <f t="shared" ref="G56:G57" si="160">IFERROR(F56/F$11,0)</f>
        <v>0.29421090178878112</v>
      </c>
      <c r="H56" s="20">
        <f>SUM(H40,H19,H50)</f>
        <v>9564</v>
      </c>
      <c r="I56" s="4">
        <f t="shared" ref="I56:I57" si="161">IFERROR(H56/H$11,0)</f>
        <v>0.29268292682926828</v>
      </c>
      <c r="J56" s="20">
        <f>SUM(J40,J19,J50)</f>
        <v>11195</v>
      </c>
      <c r="K56" s="4">
        <f t="shared" ref="K56:K57" si="162">IFERROR(J56/J$11,0)</f>
        <v>0.29311653968004608</v>
      </c>
      <c r="L56" s="20">
        <f>SUM(L40,L19,L50)</f>
        <v>11894</v>
      </c>
      <c r="M56" s="4">
        <f t="shared" ref="M56:M57" si="163">IFERROR(L56/L$11,0)</f>
        <v>0.29395482180811627</v>
      </c>
      <c r="N56" s="20">
        <f>SUM(N40,N19,N50)</f>
        <v>11828</v>
      </c>
      <c r="O56" s="4">
        <f t="shared" ref="O56:O57" si="164">IFERROR(N56/N$11,0)</f>
        <v>0.29453658050699738</v>
      </c>
      <c r="P56" s="20">
        <f>SUM(P40,P19,P50)</f>
        <v>16307</v>
      </c>
      <c r="Q56" s="4">
        <f t="shared" ref="Q56:Q57" si="165">IFERROR(P56/P$11,0)</f>
        <v>0.29395223073456511</v>
      </c>
      <c r="R56" s="20">
        <f>SUM(R40,R19,R50)</f>
        <v>16172</v>
      </c>
      <c r="S56" s="4">
        <f t="shared" ref="S56:S57" si="166">IFERROR(R56/R$11,0)</f>
        <v>0.29433069433069431</v>
      </c>
      <c r="T56" s="20">
        <f>SUM(T40,T19,T50)</f>
        <v>15915</v>
      </c>
      <c r="U56" s="4">
        <f t="shared" ref="U56:U57" si="167">IFERROR(T56/T$11,0)</f>
        <v>0.29442234760891683</v>
      </c>
      <c r="V56" s="20">
        <f>SUM(V40,V19,V50)</f>
        <v>16441</v>
      </c>
      <c r="W56" s="4">
        <f t="shared" ref="W56:W57" si="168">IFERROR(V56/V$11,0)</f>
        <v>0.29440415435580625</v>
      </c>
      <c r="X56" s="20">
        <f>SUM(X40,X19,X50)</f>
        <v>15590</v>
      </c>
      <c r="Y56" s="4">
        <f t="shared" ref="Y56:Y57" si="169">IFERROR(X56/X$11,0)</f>
        <v>0.29358592896689389</v>
      </c>
      <c r="Z56" s="20">
        <f>SUM(Z40,Z19,Z50)</f>
        <v>14871</v>
      </c>
      <c r="AA56" s="4">
        <f t="shared" ref="AA56:AA57" si="170">IFERROR(Z56/Z$11,0)</f>
        <v>0.29418397626112758</v>
      </c>
      <c r="AB56" s="20">
        <f>SUM(AB40,AB19,AB50)</f>
        <v>15560</v>
      </c>
      <c r="AC56" s="4">
        <f t="shared" ref="AC56:AC57" si="171">IFERROR(AB56/AB$11,0)</f>
        <v>0.29463000833143982</v>
      </c>
      <c r="AD56" s="20">
        <f>SUM(AD40,AD19,AD50)</f>
        <v>14115</v>
      </c>
      <c r="AE56" s="4">
        <f t="shared" ref="AE56:AE57" si="172">IFERROR(AD56/AD$11,0)</f>
        <v>0.29390330237787865</v>
      </c>
      <c r="AF56" s="20">
        <f>SUM(AF40,AF19,AF50)</f>
        <v>14499</v>
      </c>
      <c r="AG56" s="4">
        <f t="shared" ref="AG56:AG57" si="173">IFERROR(AF56/AF$11,0)</f>
        <v>0.29363279193162944</v>
      </c>
      <c r="AH56" s="20">
        <f>SUM(AH40,AH19,AH50)</f>
        <v>11793</v>
      </c>
      <c r="AI56" s="4">
        <f t="shared" ref="AI56:AI57" si="174">IFERROR(AH56/AH$11,0)</f>
        <v>0.29340930012688776</v>
      </c>
      <c r="AJ56" s="20">
        <f>SUM(AJ40,AJ19,AJ50)</f>
        <v>14187</v>
      </c>
      <c r="AK56" s="4">
        <f t="shared" ref="AK56:AK57" si="175">IFERROR(AJ56/AJ$11,0)</f>
        <v>0.29469682806755154</v>
      </c>
      <c r="AL56" s="20">
        <f>SUM(AL40,AL19,AL50)</f>
        <v>13229</v>
      </c>
      <c r="AM56" s="4">
        <f t="shared" ref="AM56:AM57" si="176">IFERROR(AL56/AL$11,0)</f>
        <v>0.29454723576692715</v>
      </c>
      <c r="AN56" s="20">
        <f>SUM(AN40,AN19,AN50)</f>
        <v>16155</v>
      </c>
      <c r="AO56" s="4">
        <f t="shared" ref="AO56:AO57" si="177">IFERROR(AN56/AN$11,0)</f>
        <v>0.29520328917313843</v>
      </c>
      <c r="AP56" s="20">
        <f>SUM(AP40,AP19,AP50)</f>
        <v>14464</v>
      </c>
      <c r="AQ56" s="4">
        <f t="shared" ref="AQ56:AQ57" si="178">IFERROR(AP56/AP$11,0)</f>
        <v>0.2938344337227019</v>
      </c>
      <c r="AR56" s="20">
        <f>SUM(AR40,AR19,AR50)</f>
        <v>14988</v>
      </c>
      <c r="AS56" s="4">
        <f t="shared" ref="AS56:AS57" si="179">IFERROR(AR56/AR$11,0)</f>
        <v>0.29470869300194663</v>
      </c>
      <c r="AT56" s="20">
        <f>SUM(AT40,AT19,AT50)</f>
        <v>14190</v>
      </c>
      <c r="AU56" s="4">
        <f t="shared" ref="AU56:AU57" si="180">IFERROR(AT56/AT$11,0)</f>
        <v>0.29453277429532154</v>
      </c>
      <c r="AV56" s="20">
        <f>SUM(AV40,AV19,AV50)</f>
        <v>12102</v>
      </c>
      <c r="AW56" s="4">
        <f t="shared" ref="AW56:AW57" si="181">IFERROR(AV56/AV$11,0)</f>
        <v>0.29365945985295189</v>
      </c>
      <c r="AX56" s="20">
        <f>SUM(AX40,AX19,AX50)</f>
        <v>15132</v>
      </c>
      <c r="AY56" s="4">
        <f t="shared" ref="AY56:AY57" si="182">IFERROR(AX56/AX$11,0)</f>
        <v>0.29404220589949864</v>
      </c>
      <c r="AZ56" s="20">
        <f>SUM(AZ40,AZ19,AZ50)</f>
        <v>12224</v>
      </c>
      <c r="BA56" s="4">
        <f t="shared" ref="BA56:BA57" si="183">IFERROR(AZ56/AZ$11,0)</f>
        <v>0.29388147613895899</v>
      </c>
      <c r="BB56" s="20">
        <f>SUM(BB40,BB19,BB50)</f>
        <v>12765</v>
      </c>
      <c r="BC56" s="4">
        <f t="shared" ref="BC56:BC57" si="184">IFERROR(BB56/BB$11,0)</f>
        <v>0.29406344306480225</v>
      </c>
      <c r="BD56" s="20">
        <f>SUM(BD40,BD19,BD50)</f>
        <v>11761</v>
      </c>
      <c r="BE56" s="4">
        <f t="shared" ref="BE56:BE57" si="185">IFERROR(BD56/BD$11,0)</f>
        <v>0.29471020121783148</v>
      </c>
      <c r="BF56" s="20">
        <f>SUM(BF40,BF19,BF50)</f>
        <v>11480</v>
      </c>
      <c r="BG56" s="4">
        <f t="shared" ref="BG56:BG57" si="186">IFERROR(BF56/BF$11,0)</f>
        <v>0.29472927524325432</v>
      </c>
      <c r="BH56" s="20">
        <f>SUM(BH40,BH19,BH50)</f>
        <v>11110</v>
      </c>
      <c r="BI56" s="4">
        <f t="shared" ref="BI56:BI57" si="187">IFERROR(BH56/BH$11,0)</f>
        <v>0.29460118795078488</v>
      </c>
      <c r="BJ56" s="20">
        <f>SUM(BJ40,BJ19,BJ50)</f>
        <v>11393</v>
      </c>
      <c r="BK56" s="4">
        <f t="shared" ref="BK56:BK57" si="188">IFERROR(BJ56/BJ$11,0)</f>
        <v>0.29450691482486752</v>
      </c>
      <c r="BL56" s="20">
        <f>SUM(BL40,BL19,BL50)</f>
        <v>12622</v>
      </c>
      <c r="BM56" s="4">
        <f t="shared" ref="BM56:BM57" si="189">IFERROR(BL56/BL$11,0)</f>
        <v>0.29516170521245</v>
      </c>
      <c r="BN56" s="20">
        <f>SUM(BN40,BN19,BN50)</f>
        <v>11755</v>
      </c>
      <c r="BO56" s="4">
        <f t="shared" ref="BO56:BO57" si="190">IFERROR(BN56/BN$11,0)</f>
        <v>0.29336893858094787</v>
      </c>
      <c r="BP56" s="20">
        <f>SUM(BP40,BP19,BP50)</f>
        <v>10414</v>
      </c>
      <c r="BQ56" s="4">
        <f t="shared" ref="BQ56:BQ57" si="191">IFERROR(BP56/BP$11,0)</f>
        <v>0.29373272409319118</v>
      </c>
      <c r="BR56" s="20">
        <f>SUM(BR40,BR19,BR50)</f>
        <v>9752</v>
      </c>
      <c r="BS56" s="4">
        <f t="shared" ref="BS56:BS57" si="192">IFERROR(BR56/BR$11,0)</f>
        <v>0.29392085355194553</v>
      </c>
      <c r="BT56" s="20">
        <f>SUM(BT40,BT19,BT50)</f>
        <v>12568</v>
      </c>
      <c r="BU56" s="4">
        <f t="shared" ref="BU56:BU57" si="193">IFERROR(BT56/BT$11,0)</f>
        <v>0.29457400679714052</v>
      </c>
      <c r="BV56" s="20">
        <f>SUM(BV40,BV19,BV50)</f>
        <v>10085</v>
      </c>
      <c r="BW56" s="4">
        <f t="shared" ref="BW56:BW57" si="194">IFERROR(BV56/BV$11,0)</f>
        <v>0.29453855140186919</v>
      </c>
      <c r="BX56" s="20">
        <f>SUM(BX40,BX19,BX50)</f>
        <v>10953</v>
      </c>
      <c r="BY56" s="4">
        <f t="shared" ref="BY56:BY57" si="195">IFERROR(BX56/BX$11,0)</f>
        <v>0.29381941091260261</v>
      </c>
      <c r="BZ56" s="20">
        <f>SUM(BZ40,BZ19,BZ50)</f>
        <v>9634</v>
      </c>
      <c r="CA56" s="4">
        <f t="shared" ref="CA56:CA57" si="196">IFERROR(BZ56/BZ$11,0)</f>
        <v>0.29339749055914238</v>
      </c>
      <c r="CB56" s="20">
        <f>SUM(CB40,CB19,CB50)</f>
        <v>10913</v>
      </c>
      <c r="CC56" s="4">
        <f t="shared" ref="CC56:CC57" si="197">IFERROR(CB56/CB$11,0)</f>
        <v>0.29331290652045366</v>
      </c>
      <c r="CD56" s="20">
        <f>SUM(CD40,CD19,CD50)</f>
        <v>10968</v>
      </c>
      <c r="CE56" s="4">
        <f t="shared" ref="CE56:CE57" si="198">IFERROR(CD56/CD$11,0)</f>
        <v>0.29365461847389557</v>
      </c>
      <c r="CF56" s="20">
        <f>SUM(CF40,CF19,CF50)</f>
        <v>11269</v>
      </c>
      <c r="CG56" s="4">
        <f t="shared" ref="CG56:CG57" si="199">IFERROR(CF56/CF$11,0)</f>
        <v>0.29484563055991625</v>
      </c>
      <c r="CH56" s="20">
        <f>SUM(CH40,CH19,CH50)</f>
        <v>11506</v>
      </c>
      <c r="CI56" s="4">
        <f t="shared" ref="CI56:CI57" si="200">IFERROR(CH56/CH$11,0)</f>
        <v>0.29388026154474867</v>
      </c>
      <c r="CJ56" s="20">
        <f>SUM(CJ40,CJ19,CJ50)</f>
        <v>12244</v>
      </c>
      <c r="CK56" s="4">
        <f t="shared" ref="CK56:CK57" si="201">IFERROR(CJ56/CJ$11,0)</f>
        <v>0.29397358943577429</v>
      </c>
      <c r="CL56" s="20">
        <f>SUM(CL40,CL19,CL50)</f>
        <v>13254</v>
      </c>
      <c r="CM56" s="4">
        <f t="shared" ref="CM56:CM57" si="202">IFERROR(CL56/CL$11,0)</f>
        <v>0.29401716985736154</v>
      </c>
      <c r="CN56" s="20">
        <f>SUM(CN40,CN19,CN50)</f>
        <v>12123</v>
      </c>
      <c r="CO56" s="4">
        <f t="shared" ref="CO56:CO57" si="203">IFERROR(CN56/CN$11,0)</f>
        <v>0.29402633940481676</v>
      </c>
      <c r="CP56" s="20">
        <f>SUM(CP40,CP19,CP50)</f>
        <v>11597</v>
      </c>
      <c r="CQ56" s="4">
        <f t="shared" ref="CQ56:CQ57" si="204">IFERROR(CP56/CP$11,0)</f>
        <v>0.29283135116026565</v>
      </c>
      <c r="CR56" s="20">
        <f>SUM(CR40,CR19,CR50)</f>
        <v>9670</v>
      </c>
      <c r="CS56" s="4">
        <f t="shared" ref="CS56:CS57" si="205">IFERROR(CR56/CR$11,0)</f>
        <v>0.29375132901971507</v>
      </c>
      <c r="CT56" s="20">
        <f>SUM(CT40,CT19,CT50)</f>
        <v>11212</v>
      </c>
      <c r="CU56" s="4">
        <f t="shared" ref="CU56:CU57" si="206">IFERROR(CT56/CT$11,0)</f>
        <v>0.2933926468664137</v>
      </c>
      <c r="CV56" s="20">
        <f>SUM(CV40,CV19,CV50)</f>
        <v>11472</v>
      </c>
      <c r="CW56" s="4">
        <f t="shared" ref="CW56:CW57" si="207">IFERROR(CV56/CV$11,0)</f>
        <v>0.29409351927809679</v>
      </c>
      <c r="CX56" s="20">
        <f>SUM(CX40,CX19,CX50)</f>
        <v>13236</v>
      </c>
      <c r="CY56" s="4">
        <f t="shared" ref="CY56:CY57" si="208">IFERROR(CX56/CX$11,0)</f>
        <v>0.29357879560829542</v>
      </c>
      <c r="CZ56" s="20">
        <f>SUM(CZ40,CZ19,CZ50)</f>
        <v>13522</v>
      </c>
      <c r="DA56" s="4">
        <f t="shared" ref="DA56:DA57" si="209">IFERROR(CZ56/CZ$11,0)</f>
        <v>0.29444940443786338</v>
      </c>
      <c r="DB56" s="20">
        <f>SUM(DB40,DB19,DB50)</f>
        <v>13786</v>
      </c>
      <c r="DC56" s="4">
        <f t="shared" ref="DC56:DC57" si="210">IFERROR(DB56/DB$11,0)</f>
        <v>0.29507705479452057</v>
      </c>
      <c r="DD56" s="20">
        <f>SUM(OSRRefD55x_0)</f>
        <v>657722</v>
      </c>
      <c r="DE56" s="4">
        <f t="shared" ref="DE56:DE57" si="211">IFERROR(DD56/DD$11,0)</f>
        <v>0.29411288602422492</v>
      </c>
    </row>
    <row r="57" spans="2:110" ht="15.75" collapsed="1" thickBot="1" x14ac:dyDescent="0.3">
      <c r="B57" s="29"/>
      <c r="C57" s="34" t="s">
        <v>23</v>
      </c>
      <c r="D57" s="19">
        <f>D11-D56</f>
        <v>26649</v>
      </c>
      <c r="E57" s="12">
        <f t="shared" si="159"/>
        <v>0.7058028974759647</v>
      </c>
      <c r="F57" s="19">
        <f>F11-F56</f>
        <v>26712</v>
      </c>
      <c r="G57" s="12">
        <f t="shared" si="160"/>
        <v>0.70578909821121882</v>
      </c>
      <c r="H57" s="19">
        <f>H11-H56</f>
        <v>23113</v>
      </c>
      <c r="I57" s="12">
        <f t="shared" si="161"/>
        <v>0.70731707317073167</v>
      </c>
      <c r="J57" s="19">
        <f>J11-J56</f>
        <v>26998</v>
      </c>
      <c r="K57" s="12">
        <f t="shared" si="162"/>
        <v>0.70688346031995397</v>
      </c>
      <c r="L57" s="19">
        <f>L11-L56</f>
        <v>28568</v>
      </c>
      <c r="M57" s="12">
        <f t="shared" si="163"/>
        <v>0.70604517819188373</v>
      </c>
      <c r="N57" s="19">
        <f>N11-N56</f>
        <v>28330</v>
      </c>
      <c r="O57" s="12">
        <f t="shared" si="164"/>
        <v>0.70546341949300262</v>
      </c>
      <c r="P57" s="19">
        <f>P11-P56</f>
        <v>39168</v>
      </c>
      <c r="Q57" s="12">
        <f t="shared" si="165"/>
        <v>0.70604776926543489</v>
      </c>
      <c r="R57" s="19">
        <f>R11-R56</f>
        <v>38773</v>
      </c>
      <c r="S57" s="12">
        <f t="shared" si="166"/>
        <v>0.70566930566930564</v>
      </c>
      <c r="T57" s="19">
        <f>T11-T56</f>
        <v>38140</v>
      </c>
      <c r="U57" s="12">
        <f t="shared" si="167"/>
        <v>0.70557765239108317</v>
      </c>
      <c r="V57" s="19">
        <f>V11-V56</f>
        <v>39404</v>
      </c>
      <c r="W57" s="12">
        <f t="shared" si="168"/>
        <v>0.70559584564419375</v>
      </c>
      <c r="X57" s="19">
        <f>X11-X56</f>
        <v>37512</v>
      </c>
      <c r="Y57" s="12">
        <f t="shared" si="169"/>
        <v>0.70641407103310605</v>
      </c>
      <c r="Z57" s="19">
        <f>Z11-Z56</f>
        <v>35679</v>
      </c>
      <c r="AA57" s="12">
        <f t="shared" si="170"/>
        <v>0.70581602373887242</v>
      </c>
      <c r="AB57" s="19">
        <f>AB11-AB56</f>
        <v>37252</v>
      </c>
      <c r="AC57" s="12">
        <f t="shared" si="171"/>
        <v>0.70536999166856018</v>
      </c>
      <c r="AD57" s="19">
        <f>AD11-AD56</f>
        <v>33911</v>
      </c>
      <c r="AE57" s="12">
        <f t="shared" si="172"/>
        <v>0.70609669762212135</v>
      </c>
      <c r="AF57" s="19">
        <f>AF11-AF56</f>
        <v>34879</v>
      </c>
      <c r="AG57" s="12">
        <f t="shared" si="173"/>
        <v>0.7063672080683705</v>
      </c>
      <c r="AH57" s="19">
        <f>AH11-AH56</f>
        <v>28400</v>
      </c>
      <c r="AI57" s="12">
        <f t="shared" si="174"/>
        <v>0.70659069987311218</v>
      </c>
      <c r="AJ57" s="19">
        <f>AJ11-AJ56</f>
        <v>33954</v>
      </c>
      <c r="AK57" s="12">
        <f t="shared" si="175"/>
        <v>0.7053031719324484</v>
      </c>
      <c r="AL57" s="19">
        <f>AL11-AL56</f>
        <v>31684</v>
      </c>
      <c r="AM57" s="12">
        <f t="shared" si="176"/>
        <v>0.70545276423307279</v>
      </c>
      <c r="AN57" s="19">
        <f>AN11-AN56</f>
        <v>38570</v>
      </c>
      <c r="AO57" s="12">
        <f t="shared" si="177"/>
        <v>0.70479671082686157</v>
      </c>
      <c r="AP57" s="19">
        <f>AP11-AP56</f>
        <v>34761</v>
      </c>
      <c r="AQ57" s="12">
        <f t="shared" si="178"/>
        <v>0.7061655662772981</v>
      </c>
      <c r="AR57" s="19">
        <f>AR11-AR56</f>
        <v>35869</v>
      </c>
      <c r="AS57" s="12">
        <f t="shared" si="179"/>
        <v>0.70529130699805331</v>
      </c>
      <c r="AT57" s="19">
        <f>AT11-AT56</f>
        <v>33988</v>
      </c>
      <c r="AU57" s="12">
        <f t="shared" si="180"/>
        <v>0.70546722570467846</v>
      </c>
      <c r="AV57" s="19">
        <f>AV11-AV56</f>
        <v>29109</v>
      </c>
      <c r="AW57" s="12">
        <f t="shared" si="181"/>
        <v>0.70634054014704817</v>
      </c>
      <c r="AX57" s="19">
        <f>AX11-AX56</f>
        <v>36330</v>
      </c>
      <c r="AY57" s="12">
        <f t="shared" si="182"/>
        <v>0.7059577941005013</v>
      </c>
      <c r="AZ57" s="19">
        <f>AZ11-AZ56</f>
        <v>29371</v>
      </c>
      <c r="BA57" s="12">
        <f t="shared" si="183"/>
        <v>0.70611852386104101</v>
      </c>
      <c r="BB57" s="19">
        <f>BB11-BB56</f>
        <v>30644</v>
      </c>
      <c r="BC57" s="12">
        <f t="shared" si="184"/>
        <v>0.70593655693519775</v>
      </c>
      <c r="BD57" s="19">
        <f>BD11-BD56</f>
        <v>28146</v>
      </c>
      <c r="BE57" s="12">
        <f t="shared" si="185"/>
        <v>0.70528979878216858</v>
      </c>
      <c r="BF57" s="19">
        <f>BF11-BF56</f>
        <v>27471</v>
      </c>
      <c r="BG57" s="12">
        <f t="shared" si="186"/>
        <v>0.70527072475674568</v>
      </c>
      <c r="BH57" s="19">
        <f>BH11-BH56</f>
        <v>26602</v>
      </c>
      <c r="BI57" s="12">
        <f t="shared" si="187"/>
        <v>0.70539881204921506</v>
      </c>
      <c r="BJ57" s="19">
        <f>BJ11-BJ56</f>
        <v>27292</v>
      </c>
      <c r="BK57" s="12">
        <f t="shared" si="188"/>
        <v>0.70549308517513243</v>
      </c>
      <c r="BL57" s="19">
        <f>BL11-BL56</f>
        <v>30141</v>
      </c>
      <c r="BM57" s="12">
        <f t="shared" si="189"/>
        <v>0.70483829478755</v>
      </c>
      <c r="BN57" s="19">
        <f>BN11-BN56</f>
        <v>28314</v>
      </c>
      <c r="BO57" s="12">
        <f t="shared" si="190"/>
        <v>0.70663106141905219</v>
      </c>
      <c r="BP57" s="19">
        <f>BP11-BP56</f>
        <v>25040</v>
      </c>
      <c r="BQ57" s="12">
        <f t="shared" si="191"/>
        <v>0.70626727590680882</v>
      </c>
      <c r="BR57" s="19">
        <f>BR11-BR56</f>
        <v>23427</v>
      </c>
      <c r="BS57" s="12">
        <f t="shared" si="192"/>
        <v>0.70607914644805447</v>
      </c>
      <c r="BT57" s="19">
        <f>BT11-BT56</f>
        <v>30097</v>
      </c>
      <c r="BU57" s="12">
        <f t="shared" si="193"/>
        <v>0.70542599320285948</v>
      </c>
      <c r="BV57" s="19">
        <f>BV11-BV56</f>
        <v>24155</v>
      </c>
      <c r="BW57" s="12">
        <f t="shared" si="194"/>
        <v>0.70546144859813087</v>
      </c>
      <c r="BX57" s="19">
        <f>BX11-BX56</f>
        <v>26325</v>
      </c>
      <c r="BY57" s="12">
        <f t="shared" si="195"/>
        <v>0.70618058908739745</v>
      </c>
      <c r="BZ57" s="19">
        <f>BZ11-BZ56</f>
        <v>23202</v>
      </c>
      <c r="CA57" s="12">
        <f t="shared" si="196"/>
        <v>0.70660250944085756</v>
      </c>
      <c r="CB57" s="19">
        <f>CB11-CB56</f>
        <v>26293</v>
      </c>
      <c r="CC57" s="12">
        <f t="shared" si="197"/>
        <v>0.70668709347954628</v>
      </c>
      <c r="CD57" s="19">
        <f>CD11-CD56</f>
        <v>26382</v>
      </c>
      <c r="CE57" s="12">
        <f t="shared" si="198"/>
        <v>0.70634538152610438</v>
      </c>
      <c r="CF57" s="19">
        <f>CF11-CF56</f>
        <v>26951</v>
      </c>
      <c r="CG57" s="12">
        <f t="shared" si="199"/>
        <v>0.70515436944008369</v>
      </c>
      <c r="CH57" s="19">
        <f>CH11-CH56</f>
        <v>27646</v>
      </c>
      <c r="CI57" s="12">
        <f t="shared" si="200"/>
        <v>0.70611973845525133</v>
      </c>
      <c r="CJ57" s="19">
        <f>CJ11-CJ56</f>
        <v>29406</v>
      </c>
      <c r="CK57" s="12">
        <f t="shared" si="201"/>
        <v>0.70602641056422566</v>
      </c>
      <c r="CL57" s="19">
        <f>CL11-CL56</f>
        <v>31825</v>
      </c>
      <c r="CM57" s="12">
        <f t="shared" si="202"/>
        <v>0.70598283014263852</v>
      </c>
      <c r="CN57" s="19">
        <f>CN11-CN56</f>
        <v>29108</v>
      </c>
      <c r="CO57" s="12">
        <f t="shared" si="203"/>
        <v>0.70597366059518318</v>
      </c>
      <c r="CP57" s="19">
        <f>CP11-CP56</f>
        <v>28006</v>
      </c>
      <c r="CQ57" s="12">
        <f t="shared" si="204"/>
        <v>0.7071686488397344</v>
      </c>
      <c r="CR57" s="19">
        <f>CR11-CR56</f>
        <v>23249</v>
      </c>
      <c r="CS57" s="12">
        <f t="shared" si="205"/>
        <v>0.70624867098028499</v>
      </c>
      <c r="CT57" s="19">
        <f>CT11-CT56</f>
        <v>27003</v>
      </c>
      <c r="CU57" s="12">
        <f t="shared" si="206"/>
        <v>0.70660735313358625</v>
      </c>
      <c r="CV57" s="19">
        <f>CV11-CV56</f>
        <v>27536</v>
      </c>
      <c r="CW57" s="12">
        <f t="shared" si="207"/>
        <v>0.70590648072190321</v>
      </c>
      <c r="CX57" s="19">
        <f>CX11-CX56</f>
        <v>31849</v>
      </c>
      <c r="CY57" s="12">
        <f t="shared" si="208"/>
        <v>0.70642120439170453</v>
      </c>
      <c r="CZ57" s="19">
        <f>CZ11-CZ56</f>
        <v>32401</v>
      </c>
      <c r="DA57" s="12">
        <f t="shared" si="209"/>
        <v>0.70555059556213662</v>
      </c>
      <c r="DB57" s="19">
        <f>DB11-DB56</f>
        <v>32934</v>
      </c>
      <c r="DC57" s="12">
        <f t="shared" si="210"/>
        <v>0.70492294520547949</v>
      </c>
      <c r="DD57" s="19">
        <f>SUM(OSRRefD56x_0)</f>
        <v>1578569</v>
      </c>
      <c r="DE57" s="12">
        <f t="shared" si="211"/>
        <v>0.70588711397577508</v>
      </c>
      <c r="DF57" s="53"/>
    </row>
    <row r="58" spans="2:110" ht="15.75" thickTop="1" x14ac:dyDescent="0.25">
      <c r="B58" s="29"/>
      <c r="C58" s="29"/>
      <c r="D58" s="26"/>
      <c r="E58" s="21"/>
      <c r="F58" s="26"/>
      <c r="G58" s="21"/>
      <c r="H58" s="26"/>
      <c r="I58" s="21"/>
      <c r="J58" s="26"/>
      <c r="K58" s="21"/>
      <c r="L58" s="26"/>
      <c r="M58" s="21"/>
      <c r="N58" s="26"/>
      <c r="O58" s="21"/>
      <c r="P58" s="26"/>
      <c r="Q58" s="21"/>
      <c r="R58" s="26"/>
      <c r="S58" s="21"/>
      <c r="T58" s="26"/>
      <c r="U58" s="21"/>
      <c r="V58" s="26"/>
      <c r="W58" s="21"/>
      <c r="X58" s="26"/>
      <c r="Y58" s="21"/>
      <c r="Z58" s="26"/>
      <c r="AA58" s="21"/>
      <c r="AB58" s="26"/>
      <c r="AC58" s="21"/>
      <c r="AD58" s="26"/>
      <c r="AE58" s="21"/>
      <c r="AF58" s="26"/>
      <c r="AG58" s="21"/>
      <c r="AH58" s="26"/>
      <c r="AI58" s="21"/>
      <c r="AJ58" s="26"/>
      <c r="AK58" s="21"/>
      <c r="AL58" s="26"/>
      <c r="AM58" s="21"/>
      <c r="AN58" s="26"/>
      <c r="AO58" s="21"/>
      <c r="AP58" s="26"/>
      <c r="AQ58" s="21"/>
      <c r="AR58" s="26"/>
      <c r="AS58" s="21"/>
      <c r="AT58" s="26"/>
      <c r="AU58" s="21"/>
      <c r="AV58" s="26"/>
      <c r="AW58" s="21"/>
      <c r="AX58" s="26"/>
      <c r="AY58" s="21"/>
      <c r="AZ58" s="26"/>
      <c r="BA58" s="21"/>
      <c r="BB58" s="26"/>
      <c r="BC58" s="21"/>
      <c r="BD58" s="26"/>
      <c r="BE58" s="21"/>
      <c r="BF58" s="26"/>
      <c r="BG58" s="21"/>
      <c r="BH58" s="26"/>
      <c r="BI58" s="21"/>
      <c r="BJ58" s="26"/>
      <c r="BK58" s="21"/>
      <c r="BL58" s="26"/>
      <c r="BM58" s="21"/>
      <c r="BN58" s="26"/>
      <c r="BO58" s="21"/>
      <c r="BP58" s="26"/>
      <c r="BQ58" s="21"/>
      <c r="BR58" s="26"/>
      <c r="BS58" s="21"/>
      <c r="BT58" s="26"/>
      <c r="BU58" s="21"/>
      <c r="BV58" s="26"/>
      <c r="BW58" s="21"/>
      <c r="BX58" s="26"/>
      <c r="BY58" s="21"/>
      <c r="BZ58" s="26"/>
      <c r="CA58" s="21"/>
      <c r="CB58" s="26"/>
      <c r="CC58" s="21"/>
      <c r="CD58" s="26"/>
      <c r="CE58" s="21"/>
      <c r="CF58" s="26"/>
      <c r="CG58" s="21"/>
      <c r="CH58" s="26"/>
      <c r="CI58" s="21"/>
      <c r="CJ58" s="26"/>
      <c r="CK58" s="21"/>
      <c r="CL58" s="26"/>
      <c r="CM58" s="21"/>
      <c r="CN58" s="26"/>
      <c r="CO58" s="21"/>
      <c r="CP58" s="26"/>
      <c r="CQ58" s="21"/>
      <c r="CR58" s="26"/>
      <c r="CS58" s="21"/>
      <c r="CT58" s="26"/>
      <c r="CU58" s="21"/>
      <c r="CV58" s="26"/>
      <c r="CW58" s="21"/>
      <c r="CX58" s="26"/>
      <c r="CY58" s="21"/>
      <c r="CZ58" s="26"/>
      <c r="DA58" s="21"/>
      <c r="DB58" s="26"/>
      <c r="DC58" s="21"/>
      <c r="DD58" s="43"/>
      <c r="DE58" s="21"/>
    </row>
    <row r="59" spans="2:110" x14ac:dyDescent="0.25">
      <c r="D59" s="11"/>
      <c r="E59" s="9"/>
      <c r="F59" s="11"/>
      <c r="G59" s="9"/>
      <c r="H59" s="11"/>
      <c r="I59" s="9"/>
      <c r="J59" s="11"/>
      <c r="K59" s="9"/>
      <c r="L59" s="11"/>
      <c r="M59" s="9"/>
      <c r="N59" s="11"/>
      <c r="O59" s="9"/>
      <c r="P59" s="11"/>
      <c r="Q59" s="9"/>
      <c r="R59" s="11"/>
      <c r="S59" s="9"/>
      <c r="T59" s="11"/>
      <c r="U59" s="9"/>
      <c r="V59" s="11"/>
      <c r="W59" s="9"/>
      <c r="X59" s="11"/>
      <c r="Y59" s="9"/>
      <c r="Z59" s="11"/>
      <c r="AA59" s="9"/>
      <c r="AB59" s="11"/>
      <c r="AC59" s="9"/>
      <c r="AD59" s="11"/>
      <c r="AE59" s="9"/>
      <c r="AF59" s="11"/>
      <c r="AG59" s="9"/>
      <c r="AH59" s="11"/>
      <c r="AI59" s="9"/>
      <c r="AJ59" s="11"/>
      <c r="AK59" s="9"/>
      <c r="AL59" s="11"/>
      <c r="AM59" s="9"/>
      <c r="AN59" s="11"/>
      <c r="AO59" s="9"/>
      <c r="AP59" s="11"/>
      <c r="AQ59" s="9"/>
      <c r="AR59" s="11"/>
      <c r="AS59" s="9"/>
      <c r="AT59" s="11"/>
      <c r="AU59" s="9"/>
      <c r="AV59" s="11"/>
      <c r="AW59" s="9"/>
      <c r="AX59" s="11"/>
      <c r="AY59" s="9"/>
      <c r="AZ59" s="11"/>
      <c r="BA59" s="9"/>
      <c r="BB59" s="11"/>
      <c r="BC59" s="9"/>
      <c r="BD59" s="11"/>
      <c r="BE59" s="9"/>
      <c r="BF59" s="11"/>
      <c r="BG59" s="9"/>
      <c r="BH59" s="11"/>
      <c r="BI59" s="9"/>
      <c r="BJ59" s="11"/>
      <c r="BK59" s="9"/>
      <c r="BL59" s="11"/>
      <c r="BM59" s="9"/>
      <c r="BN59" s="11"/>
      <c r="BO59" s="9"/>
      <c r="BP59" s="11"/>
      <c r="BQ59" s="9"/>
      <c r="BR59" s="11"/>
      <c r="BS59" s="9"/>
      <c r="BT59" s="11"/>
      <c r="BU59" s="9"/>
      <c r="BV59" s="11"/>
      <c r="BW59" s="9"/>
      <c r="BX59" s="11"/>
      <c r="BY59" s="9"/>
      <c r="BZ59" s="11"/>
      <c r="CA59" s="9"/>
      <c r="CB59" s="11"/>
      <c r="CC59" s="9"/>
      <c r="CD59" s="11"/>
      <c r="CE59" s="9"/>
      <c r="CF59" s="11"/>
      <c r="CG59" s="9"/>
      <c r="CH59" s="11"/>
      <c r="CI59" s="9"/>
      <c r="CJ59" s="11"/>
      <c r="CK59" s="9"/>
      <c r="CL59" s="11"/>
      <c r="CM59" s="9"/>
      <c r="CN59" s="11"/>
      <c r="CO59" s="9"/>
      <c r="CP59" s="11"/>
      <c r="CQ59" s="9"/>
      <c r="CR59" s="11"/>
      <c r="CS59" s="9"/>
      <c r="CT59" s="11"/>
      <c r="CU59" s="9"/>
      <c r="CV59" s="11"/>
      <c r="CW59" s="9"/>
      <c r="CX59" s="11"/>
      <c r="CY59" s="9"/>
      <c r="CZ59" s="11"/>
      <c r="DA59" s="9"/>
      <c r="DB59" s="11"/>
      <c r="DC59" s="9"/>
      <c r="DD59" s="11"/>
      <c r="DE59" s="9"/>
    </row>
    <row r="60" spans="2:110" ht="18.75" x14ac:dyDescent="0.3">
      <c r="B60" s="38" t="s">
        <v>15</v>
      </c>
      <c r="D60" s="11"/>
      <c r="E60" s="9"/>
      <c r="F60" s="11"/>
      <c r="G60" s="9"/>
      <c r="H60" s="11"/>
      <c r="I60" s="9"/>
      <c r="J60" s="11"/>
      <c r="K60" s="9"/>
      <c r="L60" s="11"/>
      <c r="M60" s="9"/>
      <c r="N60" s="11"/>
      <c r="O60" s="9"/>
      <c r="P60" s="11"/>
      <c r="Q60" s="9"/>
      <c r="R60" s="11"/>
      <c r="S60" s="9"/>
      <c r="T60" s="11"/>
      <c r="U60" s="9"/>
      <c r="V60" s="11"/>
      <c r="W60" s="9"/>
      <c r="X60" s="11"/>
      <c r="Y60" s="9"/>
      <c r="Z60" s="11"/>
      <c r="AA60" s="9"/>
      <c r="AB60" s="11"/>
      <c r="AC60" s="9"/>
      <c r="AD60" s="11"/>
      <c r="AE60" s="9"/>
      <c r="AF60" s="11"/>
      <c r="AG60" s="9"/>
      <c r="AH60" s="11"/>
      <c r="AI60" s="9"/>
      <c r="AJ60" s="11"/>
      <c r="AK60" s="9"/>
      <c r="AL60" s="11"/>
      <c r="AM60" s="9"/>
      <c r="AN60" s="11"/>
      <c r="AO60" s="9"/>
      <c r="AP60" s="11"/>
      <c r="AQ60" s="9"/>
      <c r="AR60" s="11"/>
      <c r="AS60" s="9"/>
      <c r="AT60" s="11"/>
      <c r="AU60" s="9"/>
      <c r="AV60" s="11"/>
      <c r="AW60" s="9"/>
      <c r="AX60" s="11"/>
      <c r="AY60" s="9"/>
      <c r="AZ60" s="11"/>
      <c r="BA60" s="9"/>
      <c r="BB60" s="11"/>
      <c r="BC60" s="9"/>
      <c r="BD60" s="11"/>
      <c r="BE60" s="9"/>
      <c r="BF60" s="11"/>
      <c r="BG60" s="9"/>
      <c r="BH60" s="11"/>
      <c r="BI60" s="9"/>
      <c r="BJ60" s="11"/>
      <c r="BK60" s="9"/>
      <c r="BL60" s="11"/>
      <c r="BM60" s="9"/>
      <c r="BN60" s="11"/>
      <c r="BO60" s="9"/>
      <c r="BP60" s="11"/>
      <c r="BQ60" s="9"/>
      <c r="BR60" s="11"/>
      <c r="BS60" s="9"/>
      <c r="BT60" s="11"/>
      <c r="BU60" s="9"/>
      <c r="BV60" s="11"/>
      <c r="BW60" s="9"/>
      <c r="BX60" s="11"/>
      <c r="BY60" s="9"/>
      <c r="BZ60" s="11"/>
      <c r="CA60" s="9"/>
      <c r="CB60" s="11"/>
      <c r="CC60" s="9"/>
      <c r="CD60" s="11"/>
      <c r="CE60" s="9"/>
      <c r="CF60" s="11"/>
      <c r="CG60" s="9"/>
      <c r="CH60" s="11"/>
      <c r="CI60" s="9"/>
      <c r="CJ60" s="11"/>
      <c r="CK60" s="9"/>
      <c r="CL60" s="11"/>
      <c r="CM60" s="9"/>
      <c r="CN60" s="11"/>
      <c r="CO60" s="9"/>
      <c r="CP60" s="11"/>
      <c r="CQ60" s="9"/>
      <c r="CR60" s="11"/>
      <c r="CS60" s="9"/>
      <c r="CT60" s="11"/>
      <c r="CU60" s="9"/>
      <c r="CV60" s="11"/>
      <c r="CW60" s="9"/>
      <c r="CX60" s="11"/>
      <c r="CY60" s="9"/>
      <c r="CZ60" s="11"/>
      <c r="DA60" s="9"/>
      <c r="DB60" s="11"/>
      <c r="DC60" s="9"/>
      <c r="DD60" s="11"/>
      <c r="DE60" s="9"/>
    </row>
    <row r="61" spans="2:110" outlineLevel="1" x14ac:dyDescent="0.25">
      <c r="D61" s="11"/>
      <c r="E61" s="9"/>
      <c r="F61" s="11"/>
      <c r="G61" s="9"/>
      <c r="H61" s="11"/>
      <c r="I61" s="9"/>
      <c r="J61" s="11"/>
      <c r="K61" s="9"/>
      <c r="L61" s="11"/>
      <c r="M61" s="9"/>
      <c r="N61" s="11"/>
      <c r="O61" s="9"/>
      <c r="P61" s="11"/>
      <c r="Q61" s="9"/>
      <c r="R61" s="11"/>
      <c r="S61" s="9"/>
      <c r="T61" s="11"/>
      <c r="U61" s="9"/>
      <c r="V61" s="11"/>
      <c r="W61" s="9"/>
      <c r="X61" s="11"/>
      <c r="Y61" s="9"/>
      <c r="Z61" s="11"/>
      <c r="AA61" s="9"/>
      <c r="AB61" s="11"/>
      <c r="AC61" s="9"/>
      <c r="AD61" s="11"/>
      <c r="AE61" s="9"/>
      <c r="AF61" s="11"/>
      <c r="AG61" s="9"/>
      <c r="AH61" s="11"/>
      <c r="AI61" s="9"/>
      <c r="AJ61" s="11"/>
      <c r="AK61" s="9"/>
      <c r="AL61" s="11"/>
      <c r="AM61" s="9"/>
      <c r="AN61" s="11"/>
      <c r="AO61" s="9"/>
      <c r="AP61" s="11"/>
      <c r="AQ61" s="9"/>
      <c r="AR61" s="11"/>
      <c r="AS61" s="9"/>
      <c r="AT61" s="11"/>
      <c r="AU61" s="9"/>
      <c r="AV61" s="11"/>
      <c r="AW61" s="9"/>
      <c r="AX61" s="11"/>
      <c r="AY61" s="9"/>
      <c r="AZ61" s="11"/>
      <c r="BA61" s="9"/>
      <c r="BB61" s="11"/>
      <c r="BC61" s="9"/>
      <c r="BD61" s="11"/>
      <c r="BE61" s="9"/>
      <c r="BF61" s="11"/>
      <c r="BG61" s="9"/>
      <c r="BH61" s="11"/>
      <c r="BI61" s="9"/>
      <c r="BJ61" s="11"/>
      <c r="BK61" s="9"/>
      <c r="BL61" s="11"/>
      <c r="BM61" s="9"/>
      <c r="BN61" s="11"/>
      <c r="BO61" s="9"/>
      <c r="BP61" s="11"/>
      <c r="BQ61" s="9"/>
      <c r="BR61" s="11"/>
      <c r="BS61" s="9"/>
      <c r="BT61" s="11"/>
      <c r="BU61" s="9"/>
      <c r="BV61" s="11"/>
      <c r="BW61" s="9"/>
      <c r="BX61" s="11"/>
      <c r="BY61" s="9"/>
      <c r="BZ61" s="11"/>
      <c r="CA61" s="9"/>
      <c r="CB61" s="11"/>
      <c r="CC61" s="9"/>
      <c r="CD61" s="11"/>
      <c r="CE61" s="9"/>
      <c r="CF61" s="11"/>
      <c r="CG61" s="9"/>
      <c r="CH61" s="11"/>
      <c r="CI61" s="9"/>
      <c r="CJ61" s="11"/>
      <c r="CK61" s="9"/>
      <c r="CL61" s="11"/>
      <c r="CM61" s="9"/>
      <c r="CN61" s="11"/>
      <c r="CO61" s="9"/>
      <c r="CP61" s="11"/>
      <c r="CQ61" s="9"/>
      <c r="CR61" s="11"/>
      <c r="CS61" s="9"/>
      <c r="CT61" s="11"/>
      <c r="CU61" s="9"/>
      <c r="CV61" s="11"/>
      <c r="CW61" s="9"/>
      <c r="CX61" s="11"/>
      <c r="CY61" s="9"/>
      <c r="CZ61" s="11"/>
      <c r="DA61" s="9"/>
      <c r="DB61" s="11"/>
      <c r="DC61" s="9"/>
      <c r="DD61" s="11"/>
      <c r="DE61" s="9"/>
    </row>
    <row r="62" spans="2:110" outlineLevel="1" x14ac:dyDescent="0.25">
      <c r="B62">
        <v>51005</v>
      </c>
      <c r="C62" t="s">
        <v>47</v>
      </c>
      <c r="D62" s="5">
        <f>IFERROR(4068,0)</f>
        <v>4068</v>
      </c>
      <c r="E62" s="4">
        <f>IFERROR(D62/D$15,0)</f>
        <v>0.13451046523162385</v>
      </c>
      <c r="F62" s="5">
        <f>IFERROR(4224,0)</f>
        <v>4224</v>
      </c>
      <c r="G62" s="4">
        <f>IFERROR(F62/F$15,0)</f>
        <v>0.13861906012076661</v>
      </c>
      <c r="H62" s="5">
        <f>IFERROR(3456,0)</f>
        <v>3456</v>
      </c>
      <c r="I62" s="4">
        <f>IFERROR(H62/H$15,0)</f>
        <v>0.13702323368487829</v>
      </c>
      <c r="J62" s="5">
        <f>IFERROR(3900,0)</f>
        <v>3900</v>
      </c>
      <c r="K62" s="4">
        <f>IFERROR(J62/J$15,0)</f>
        <v>0.13046532633057906</v>
      </c>
      <c r="L62" s="5">
        <f>IFERROR(4116,0)</f>
        <v>4116</v>
      </c>
      <c r="M62" s="4">
        <f>IFERROR(L62/L$15,0)</f>
        <v>0.12771503040834056</v>
      </c>
      <c r="N62" s="5">
        <f>IFERROR(4116,0)</f>
        <v>4116</v>
      </c>
      <c r="O62" s="4">
        <f>IFERROR(N62/N$15,0)</f>
        <v>0.1263739637703408</v>
      </c>
      <c r="P62" s="5">
        <f>IFERROR(5304,0)</f>
        <v>5304</v>
      </c>
      <c r="Q62" s="4">
        <f>IFERROR(P62/P$15,0)</f>
        <v>0.11924460431654677</v>
      </c>
      <c r="R62" s="5">
        <f>IFERROR(5352,0)</f>
        <v>5352</v>
      </c>
      <c r="S62" s="4">
        <f>IFERROR(R62/R$15,0)</f>
        <v>0.12073632918245804</v>
      </c>
      <c r="T62" s="5">
        <f>IFERROR(5340,0)</f>
        <v>5340</v>
      </c>
      <c r="U62" s="4">
        <f>IFERROR(T62/T$15,0)</f>
        <v>0.1220683033877383</v>
      </c>
      <c r="V62" s="5">
        <f>IFERROR(5292,0)</f>
        <v>5292</v>
      </c>
      <c r="W62" s="4">
        <f>IFERROR(V62/V$15,0)</f>
        <v>0.11730803333924454</v>
      </c>
      <c r="X62" s="5">
        <f>IFERROR(5040,0)</f>
        <v>5040</v>
      </c>
      <c r="Y62" s="4">
        <f>IFERROR(X62/X$15,0)</f>
        <v>0.12023761242455329</v>
      </c>
      <c r="Z62" s="5">
        <f>IFERROR(4884,0)</f>
        <v>4884</v>
      </c>
      <c r="AA62" s="4">
        <f>IFERROR(Z62/Z$15,0)</f>
        <v>0.12018012254238539</v>
      </c>
      <c r="AB62" s="5">
        <f>IFERROR(5112,0)</f>
        <v>5112</v>
      </c>
      <c r="AC62" s="4">
        <f>IFERROR(AB62/AB$15,0)</f>
        <v>0.11841282342313127</v>
      </c>
      <c r="AD62" s="5">
        <f>IFERROR(4680,0)</f>
        <v>4680</v>
      </c>
      <c r="AE62" s="4">
        <f>IFERROR(AD62/AD$15,0)</f>
        <v>0.12172917858814961</v>
      </c>
      <c r="AF62" s="5">
        <f>IFERROR(4824,0)</f>
        <v>4824</v>
      </c>
      <c r="AG62" s="4">
        <f>IFERROR(AF62/AF$15,0)</f>
        <v>0.12360356667008301</v>
      </c>
      <c r="AH62" s="5">
        <f>IFERROR(4236,0)</f>
        <v>4236</v>
      </c>
      <c r="AI62" s="4">
        <f>IFERROR(AH62/AH$15,0)</f>
        <v>0.13334592501652659</v>
      </c>
      <c r="AJ62" s="5">
        <f>IFERROR(4812,0)</f>
        <v>4812</v>
      </c>
      <c r="AK62" s="4">
        <f>IFERROR(AJ62/AJ$15,0)</f>
        <v>0.12235246255943451</v>
      </c>
      <c r="AL62" s="5">
        <f>IFERROR(4596,0)</f>
        <v>4596</v>
      </c>
      <c r="AM62" s="4">
        <f>IFERROR(AL62/AL$15,0)</f>
        <v>0.1258350673529734</v>
      </c>
      <c r="AN62" s="5">
        <f>IFERROR(5340,0)</f>
        <v>5340</v>
      </c>
      <c r="AO62" s="4">
        <f>IFERROR(AN62/AN$15,0)</f>
        <v>0.11720550470797393</v>
      </c>
      <c r="AP62" s="5">
        <f>IFERROR(4932,0)</f>
        <v>4932</v>
      </c>
      <c r="AQ62" s="4">
        <f>IFERROR(AP62/AP$15,0)</f>
        <v>0.12531761357861571</v>
      </c>
      <c r="AR62" s="5">
        <f>IFERROR(5064,0)</f>
        <v>5064</v>
      </c>
      <c r="AS62" s="4">
        <f>IFERROR(AR62/AR$15,0)</f>
        <v>0.12190366144291183</v>
      </c>
      <c r="AT62" s="5">
        <f>IFERROR(4800,0)</f>
        <v>4800</v>
      </c>
      <c r="AU62" s="4">
        <f>IFERROR(AT62/AT$15,0)</f>
        <v>0.12263982217225786</v>
      </c>
      <c r="AV62" s="5">
        <f>IFERROR(4248,0)</f>
        <v>4248</v>
      </c>
      <c r="AW62" s="4">
        <f>IFERROR(AV62/AV$15,0)</f>
        <v>0.12920886942239254</v>
      </c>
      <c r="AX62" s="5">
        <f>IFERROR(5016,0)</f>
        <v>5016</v>
      </c>
      <c r="AY62" s="4">
        <f>IFERROR(AX62/AX$15,0)</f>
        <v>0.12116820059424596</v>
      </c>
      <c r="AZ62" s="5">
        <f>IFERROR(4212,0)</f>
        <v>4212</v>
      </c>
      <c r="BA62" s="4">
        <f>IFERROR(AZ62/AZ$15,0)</f>
        <v>0.12713552671294898</v>
      </c>
      <c r="BB62" s="5">
        <f>IFERROR(4344,0)</f>
        <v>4344</v>
      </c>
      <c r="BC62" s="4">
        <f>IFERROR(BB62/BB$15,0)</f>
        <v>0.12520175236338482</v>
      </c>
      <c r="BD62" s="5">
        <f>IFERROR(4152,0)</f>
        <v>4152</v>
      </c>
      <c r="BE62" s="4">
        <f>IFERROR(BD62/BD$15,0)</f>
        <v>0.12748318953606189</v>
      </c>
      <c r="BF62" s="5">
        <f>IFERROR(4068,0)</f>
        <v>4068</v>
      </c>
      <c r="BG62" s="4">
        <f>IFERROR(BF62/BF$15,0)</f>
        <v>0.12784814104780162</v>
      </c>
      <c r="BH62" s="5">
        <f>IFERROR(4032,0)</f>
        <v>4032</v>
      </c>
      <c r="BI62" s="4">
        <f>IFERROR(BH62/BH$15,0)</f>
        <v>0.13181639858768143</v>
      </c>
      <c r="BJ62" s="5">
        <f>IFERROR(4068,0)</f>
        <v>4068</v>
      </c>
      <c r="BK62" s="4">
        <f>IFERROR(BJ62/BJ$15,0)</f>
        <v>0.12921259092208492</v>
      </c>
      <c r="BL62" s="5">
        <f>IFERROR(4440,0)</f>
        <v>4440</v>
      </c>
      <c r="BM62" s="4">
        <f>IFERROR(BL62/BL$15,0)</f>
        <v>0.12574341546304163</v>
      </c>
      <c r="BN62" s="5">
        <f>IFERROR(4212,0)</f>
        <v>4212</v>
      </c>
      <c r="BO62" s="4">
        <f>IFERROR(BN62/BN$15,0)</f>
        <v>0.13440980310814693</v>
      </c>
      <c r="BP62" s="5">
        <f>IFERROR(3804,0)</f>
        <v>3804</v>
      </c>
      <c r="BQ62" s="4">
        <f>IFERROR(BP62/BP$15,0)</f>
        <v>0.13512841462115022</v>
      </c>
      <c r="BR62" s="5">
        <f>IFERROR(3552,0)</f>
        <v>3552</v>
      </c>
      <c r="BS62" s="4">
        <f>IFERROR(BR62/BR$15,0)</f>
        <v>0.13407821229050279</v>
      </c>
      <c r="BT62" s="5">
        <f>IFERROR(4380,0)</f>
        <v>4380</v>
      </c>
      <c r="BU62" s="4">
        <f>IFERROR(BT62/BT$15,0)</f>
        <v>0.12667013708138122</v>
      </c>
      <c r="BV62" s="5">
        <f>IFERROR(3732,0)</f>
        <v>3732</v>
      </c>
      <c r="BW62" s="4">
        <f>IFERROR(BV62/BV$15,0)</f>
        <v>0.1347876336318983</v>
      </c>
      <c r="BX62" s="5">
        <f>IFERROR(4044,0)</f>
        <v>4044</v>
      </c>
      <c r="BY62" s="4">
        <f>IFERROR(BX62/BX$15,0)</f>
        <v>0.137247581876803</v>
      </c>
      <c r="BZ62" s="5">
        <f>IFERROR(3720,0)</f>
        <v>3720</v>
      </c>
      <c r="CA62" s="4">
        <f>IFERROR(BZ62/BZ$15,0)</f>
        <v>0.14478088269634934</v>
      </c>
      <c r="CB62" s="5">
        <f>IFERROR(4104,0)</f>
        <v>4104</v>
      </c>
      <c r="CC62" s="4">
        <f>IFERROR(CB62/CB$15,0)</f>
        <v>0.1406298187300826</v>
      </c>
      <c r="CD62" s="5">
        <f>IFERROR(4212,0)</f>
        <v>4212</v>
      </c>
      <c r="CE62" s="4">
        <f>IFERROR(CD62/CD$15,0)</f>
        <v>0.14199507804335368</v>
      </c>
      <c r="CF62" s="5">
        <f>IFERROR(4464,0)</f>
        <v>4464</v>
      </c>
      <c r="CG62" s="4">
        <f>IFERROR(CF62/CF$15,0)</f>
        <v>0.14285714285714285</v>
      </c>
      <c r="CH62" s="5">
        <f>IFERROR(4464,0)</f>
        <v>4464</v>
      </c>
      <c r="CI62" s="4">
        <f>IFERROR(CH62/CH$15,0)</f>
        <v>0.14319165998396149</v>
      </c>
      <c r="CJ62" s="5">
        <f>IFERROR(4440,0)</f>
        <v>4440</v>
      </c>
      <c r="CK62" s="4">
        <f>IFERROR(CJ62/CJ$15,0)</f>
        <v>0.13291025564269893</v>
      </c>
      <c r="CL62" s="5">
        <f>IFERROR(4812,0)</f>
        <v>4812</v>
      </c>
      <c r="CM62" s="4">
        <f>IFERROR(CL62/CL$15,0)</f>
        <v>0.1329171615611966</v>
      </c>
      <c r="CN62" s="5">
        <f>IFERROR(4692,0)</f>
        <v>4692</v>
      </c>
      <c r="CO62" s="4">
        <f>IFERROR(CN62/CN$15,0)</f>
        <v>0.14216889373693301</v>
      </c>
      <c r="CP62" s="5">
        <f>IFERROR(4176,0)</f>
        <v>4176</v>
      </c>
      <c r="CQ62" s="4">
        <f>IFERROR(CP62/CP$15,0)</f>
        <v>0.13604821632187653</v>
      </c>
      <c r="CR62" s="5">
        <f>IFERROR(3612,0)</f>
        <v>3612</v>
      </c>
      <c r="CS62" s="4">
        <f>IFERROR(CR62/CR$15,0)</f>
        <v>0.1379731846136216</v>
      </c>
      <c r="CT62" s="5">
        <f>IFERROR(4128,0)</f>
        <v>4128</v>
      </c>
      <c r="CU62" s="4">
        <f>IFERROR(CT62/CT$15,0)</f>
        <v>0.13744422987281082</v>
      </c>
      <c r="CV62" s="5">
        <f>IFERROR(4068,0)</f>
        <v>4068</v>
      </c>
      <c r="CW62" s="4">
        <f>IFERROR(CV62/CV$15,0)</f>
        <v>0.12915105720998157</v>
      </c>
      <c r="CX62" s="5">
        <f>IFERROR(4500,0)</f>
        <v>4500</v>
      </c>
      <c r="CY62" s="4">
        <f>IFERROR(CX62/CX$15,0)</f>
        <v>0.12677484787018256</v>
      </c>
      <c r="CZ62" s="5">
        <f>IFERROR(4752,0)</f>
        <v>4752</v>
      </c>
      <c r="DA62" s="4">
        <f>IFERROR(CZ62/CZ$15,0)</f>
        <v>0.12757731958762886</v>
      </c>
      <c r="DB62" s="5">
        <f>IFERROR(4848,0)</f>
        <v>4848</v>
      </c>
      <c r="DC62" s="4">
        <f>IFERROR(DB62/DB$15,0)</f>
        <v>0.12538471485839908</v>
      </c>
      <c r="DD62" s="5">
        <f>SUM(OSRRefD61_0x_0)</f>
        <v>230784</v>
      </c>
      <c r="DE62" s="4">
        <f>IFERROR(DD62/DD$15,0)</f>
        <v>0.12852164247344464</v>
      </c>
      <c r="DF62" s="28"/>
    </row>
    <row r="63" spans="2:110" ht="7.5" customHeight="1" x14ac:dyDescent="0.25">
      <c r="D63" s="5"/>
      <c r="E63" s="2"/>
      <c r="F63" s="5"/>
      <c r="G63" s="2"/>
      <c r="H63" s="5"/>
      <c r="I63" s="2"/>
      <c r="J63" s="5"/>
      <c r="K63" s="2"/>
      <c r="L63" s="5"/>
      <c r="M63" s="2"/>
      <c r="N63" s="5"/>
      <c r="O63" s="2"/>
      <c r="P63" s="5"/>
      <c r="Q63" s="2"/>
      <c r="R63" s="5"/>
      <c r="S63" s="2"/>
      <c r="T63" s="5"/>
      <c r="U63" s="2"/>
      <c r="V63" s="5"/>
      <c r="W63" s="2"/>
      <c r="X63" s="5"/>
      <c r="Y63" s="2"/>
      <c r="Z63" s="5"/>
      <c r="AA63" s="2"/>
      <c r="AB63" s="5"/>
      <c r="AC63" s="2"/>
      <c r="AD63" s="5"/>
      <c r="AE63" s="2"/>
      <c r="AF63" s="5"/>
      <c r="AG63" s="2"/>
      <c r="AH63" s="5"/>
      <c r="AI63" s="2"/>
      <c r="AJ63" s="5"/>
      <c r="AK63" s="2"/>
      <c r="AL63" s="5"/>
      <c r="AM63" s="2"/>
      <c r="AN63" s="5"/>
      <c r="AO63" s="2"/>
      <c r="AP63" s="5"/>
      <c r="AQ63" s="2"/>
      <c r="AR63" s="5"/>
      <c r="AS63" s="2"/>
      <c r="AT63" s="5"/>
      <c r="AU63" s="2"/>
      <c r="AV63" s="5"/>
      <c r="AW63" s="2"/>
      <c r="AX63" s="5"/>
      <c r="AY63" s="2"/>
      <c r="AZ63" s="5"/>
      <c r="BA63" s="2"/>
      <c r="BB63" s="5"/>
      <c r="BC63" s="2"/>
      <c r="BD63" s="5"/>
      <c r="BE63" s="2"/>
      <c r="BF63" s="5"/>
      <c r="BG63" s="2"/>
      <c r="BH63" s="5"/>
      <c r="BI63" s="2"/>
      <c r="BJ63" s="5"/>
      <c r="BK63" s="2"/>
      <c r="BL63" s="5"/>
      <c r="BM63" s="2"/>
      <c r="BN63" s="5"/>
      <c r="BO63" s="2"/>
      <c r="BP63" s="5"/>
      <c r="BQ63" s="2"/>
      <c r="BR63" s="5"/>
      <c r="BS63" s="2"/>
      <c r="BT63" s="5"/>
      <c r="BU63" s="2"/>
      <c r="BV63" s="5"/>
      <c r="BW63" s="2"/>
      <c r="BX63" s="5"/>
      <c r="BY63" s="2"/>
      <c r="BZ63" s="5"/>
      <c r="CA63" s="2"/>
      <c r="CB63" s="5"/>
      <c r="CC63" s="2"/>
      <c r="CD63" s="5"/>
      <c r="CE63" s="2"/>
      <c r="CF63" s="5"/>
      <c r="CG63" s="2"/>
      <c r="CH63" s="5"/>
      <c r="CI63" s="2"/>
      <c r="CJ63" s="5"/>
      <c r="CK63" s="2"/>
      <c r="CL63" s="5"/>
      <c r="CM63" s="2"/>
      <c r="CN63" s="5"/>
      <c r="CO63" s="2"/>
      <c r="CP63" s="5"/>
      <c r="CQ63" s="2"/>
      <c r="CR63" s="5"/>
      <c r="CS63" s="2"/>
      <c r="CT63" s="5"/>
      <c r="CU63" s="2"/>
      <c r="CV63" s="5"/>
      <c r="CW63" s="2"/>
      <c r="CX63" s="5"/>
      <c r="CY63" s="2"/>
      <c r="CZ63" s="5"/>
      <c r="DA63" s="2"/>
      <c r="DB63" s="5"/>
      <c r="DC63" s="2"/>
      <c r="DD63" s="5"/>
      <c r="DE63" s="2"/>
      <c r="DF63" s="28"/>
    </row>
    <row r="64" spans="2:110" x14ac:dyDescent="0.25">
      <c r="B64" s="30"/>
      <c r="C64" s="31" t="s">
        <v>8</v>
      </c>
      <c r="D64" s="3">
        <f>SUM(D62:D63)</f>
        <v>4068</v>
      </c>
      <c r="E64" s="1">
        <f>IFERROR(D64/D$15,0)</f>
        <v>0.13451046523162385</v>
      </c>
      <c r="F64" s="3">
        <f>SUM(F62:F63)</f>
        <v>4224</v>
      </c>
      <c r="G64" s="1">
        <f>IFERROR(F64/F$15,0)</f>
        <v>0.13861906012076661</v>
      </c>
      <c r="H64" s="3">
        <f>SUM(H62:H63)</f>
        <v>3456</v>
      </c>
      <c r="I64" s="1">
        <f>IFERROR(H64/H$15,0)</f>
        <v>0.13702323368487829</v>
      </c>
      <c r="J64" s="3">
        <f>SUM(J62:J63)</f>
        <v>3900</v>
      </c>
      <c r="K64" s="1">
        <f>IFERROR(J64/J$15,0)</f>
        <v>0.13046532633057906</v>
      </c>
      <c r="L64" s="3">
        <f>SUM(L62:L63)</f>
        <v>4116</v>
      </c>
      <c r="M64" s="1">
        <f>IFERROR(L64/L$15,0)</f>
        <v>0.12771503040834056</v>
      </c>
      <c r="N64" s="3">
        <f>SUM(N62:N63)</f>
        <v>4116</v>
      </c>
      <c r="O64" s="1">
        <f>IFERROR(N64/N$15,0)</f>
        <v>0.1263739637703408</v>
      </c>
      <c r="P64" s="3">
        <f>SUM(P62:P63)</f>
        <v>5304</v>
      </c>
      <c r="Q64" s="1">
        <f>IFERROR(P64/P$15,0)</f>
        <v>0.11924460431654677</v>
      </c>
      <c r="R64" s="3">
        <f>SUM(R62:R63)</f>
        <v>5352</v>
      </c>
      <c r="S64" s="1">
        <f>IFERROR(R64/R$15,0)</f>
        <v>0.12073632918245804</v>
      </c>
      <c r="T64" s="3">
        <f>SUM(T62:T63)</f>
        <v>5340</v>
      </c>
      <c r="U64" s="1">
        <f>IFERROR(T64/T$15,0)</f>
        <v>0.1220683033877383</v>
      </c>
      <c r="V64" s="3">
        <f>SUM(V62:V63)</f>
        <v>5292</v>
      </c>
      <c r="W64" s="1">
        <f>IFERROR(V64/V$15,0)</f>
        <v>0.11730803333924454</v>
      </c>
      <c r="X64" s="3">
        <f>SUM(X62:X63)</f>
        <v>5040</v>
      </c>
      <c r="Y64" s="1">
        <f>IFERROR(X64/X$15,0)</f>
        <v>0.12023761242455329</v>
      </c>
      <c r="Z64" s="3">
        <f>SUM(Z62:Z63)</f>
        <v>4884</v>
      </c>
      <c r="AA64" s="1">
        <f>IFERROR(Z64/Z$15,0)</f>
        <v>0.12018012254238539</v>
      </c>
      <c r="AB64" s="3">
        <f>SUM(AB62:AB63)</f>
        <v>5112</v>
      </c>
      <c r="AC64" s="1">
        <f>IFERROR(AB64/AB$15,0)</f>
        <v>0.11841282342313127</v>
      </c>
      <c r="AD64" s="3">
        <f>SUM(AD62:AD63)</f>
        <v>4680</v>
      </c>
      <c r="AE64" s="1">
        <f>IFERROR(AD64/AD$15,0)</f>
        <v>0.12172917858814961</v>
      </c>
      <c r="AF64" s="3">
        <f>SUM(AF62:AF63)</f>
        <v>4824</v>
      </c>
      <c r="AG64" s="1">
        <f>IFERROR(AF64/AF$15,0)</f>
        <v>0.12360356667008301</v>
      </c>
      <c r="AH64" s="3">
        <f>SUM(AH62:AH63)</f>
        <v>4236</v>
      </c>
      <c r="AI64" s="1">
        <f>IFERROR(AH64/AH$15,0)</f>
        <v>0.13334592501652659</v>
      </c>
      <c r="AJ64" s="3">
        <f>SUM(AJ62:AJ63)</f>
        <v>4812</v>
      </c>
      <c r="AK64" s="1">
        <f>IFERROR(AJ64/AJ$15,0)</f>
        <v>0.12235246255943451</v>
      </c>
      <c r="AL64" s="3">
        <f>SUM(AL62:AL63)</f>
        <v>4596</v>
      </c>
      <c r="AM64" s="1">
        <f>IFERROR(AL64/AL$15,0)</f>
        <v>0.1258350673529734</v>
      </c>
      <c r="AN64" s="3">
        <f>SUM(AN62:AN63)</f>
        <v>5340</v>
      </c>
      <c r="AO64" s="1">
        <f>IFERROR(AN64/AN$15,0)</f>
        <v>0.11720550470797393</v>
      </c>
      <c r="AP64" s="3">
        <f>SUM(AP62:AP63)</f>
        <v>4932</v>
      </c>
      <c r="AQ64" s="1">
        <f>IFERROR(AP64/AP$15,0)</f>
        <v>0.12531761357861571</v>
      </c>
      <c r="AR64" s="3">
        <f>SUM(AR62:AR63)</f>
        <v>5064</v>
      </c>
      <c r="AS64" s="1">
        <f>IFERROR(AR64/AR$15,0)</f>
        <v>0.12190366144291183</v>
      </c>
      <c r="AT64" s="3">
        <f>SUM(AT62:AT63)</f>
        <v>4800</v>
      </c>
      <c r="AU64" s="1">
        <f>IFERROR(AT64/AT$15,0)</f>
        <v>0.12263982217225786</v>
      </c>
      <c r="AV64" s="3">
        <f>SUM(AV62:AV63)</f>
        <v>4248</v>
      </c>
      <c r="AW64" s="1">
        <f>IFERROR(AV64/AV$15,0)</f>
        <v>0.12920886942239254</v>
      </c>
      <c r="AX64" s="3">
        <f>SUM(AX62:AX63)</f>
        <v>5016</v>
      </c>
      <c r="AY64" s="1">
        <f>IFERROR(AX64/AX$15,0)</f>
        <v>0.12116820059424596</v>
      </c>
      <c r="AZ64" s="3">
        <f>SUM(AZ62:AZ63)</f>
        <v>4212</v>
      </c>
      <c r="BA64" s="1">
        <f>IFERROR(AZ64/AZ$15,0)</f>
        <v>0.12713552671294898</v>
      </c>
      <c r="BB64" s="3">
        <f>SUM(BB62:BB63)</f>
        <v>4344</v>
      </c>
      <c r="BC64" s="1">
        <f>IFERROR(BB64/BB$15,0)</f>
        <v>0.12520175236338482</v>
      </c>
      <c r="BD64" s="3">
        <f>SUM(BD62:BD63)</f>
        <v>4152</v>
      </c>
      <c r="BE64" s="1">
        <f>IFERROR(BD64/BD$15,0)</f>
        <v>0.12748318953606189</v>
      </c>
      <c r="BF64" s="3">
        <f>SUM(BF62:BF63)</f>
        <v>4068</v>
      </c>
      <c r="BG64" s="1">
        <f>IFERROR(BF64/BF$15,0)</f>
        <v>0.12784814104780162</v>
      </c>
      <c r="BH64" s="3">
        <f>SUM(BH62:BH63)</f>
        <v>4032</v>
      </c>
      <c r="BI64" s="1">
        <f>IFERROR(BH64/BH$15,0)</f>
        <v>0.13181639858768143</v>
      </c>
      <c r="BJ64" s="3">
        <f>SUM(BJ62:BJ63)</f>
        <v>4068</v>
      </c>
      <c r="BK64" s="1">
        <f>IFERROR(BJ64/BJ$15,0)</f>
        <v>0.12921259092208492</v>
      </c>
      <c r="BL64" s="3">
        <f>SUM(BL62:BL63)</f>
        <v>4440</v>
      </c>
      <c r="BM64" s="1">
        <f>IFERROR(BL64/BL$15,0)</f>
        <v>0.12574341546304163</v>
      </c>
      <c r="BN64" s="3">
        <f>SUM(BN62:BN63)</f>
        <v>4212</v>
      </c>
      <c r="BO64" s="1">
        <f>IFERROR(BN64/BN$15,0)</f>
        <v>0.13440980310814693</v>
      </c>
      <c r="BP64" s="3">
        <f>SUM(BP62:BP63)</f>
        <v>3804</v>
      </c>
      <c r="BQ64" s="1">
        <f>IFERROR(BP64/BP$15,0)</f>
        <v>0.13512841462115022</v>
      </c>
      <c r="BR64" s="3">
        <f>SUM(BR62:BR63)</f>
        <v>3552</v>
      </c>
      <c r="BS64" s="1">
        <f>IFERROR(BR64/BR$15,0)</f>
        <v>0.13407821229050279</v>
      </c>
      <c r="BT64" s="3">
        <f>SUM(BT62:BT63)</f>
        <v>4380</v>
      </c>
      <c r="BU64" s="1">
        <f>IFERROR(BT64/BT$15,0)</f>
        <v>0.12667013708138122</v>
      </c>
      <c r="BV64" s="3">
        <f>SUM(BV62:BV63)</f>
        <v>3732</v>
      </c>
      <c r="BW64" s="1">
        <f>IFERROR(BV64/BV$15,0)</f>
        <v>0.1347876336318983</v>
      </c>
      <c r="BX64" s="3">
        <f>SUM(BX62:BX63)</f>
        <v>4044</v>
      </c>
      <c r="BY64" s="1">
        <f>IFERROR(BX64/BX$15,0)</f>
        <v>0.137247581876803</v>
      </c>
      <c r="BZ64" s="3">
        <f>SUM(BZ62:BZ63)</f>
        <v>3720</v>
      </c>
      <c r="CA64" s="1">
        <f>IFERROR(BZ64/BZ$15,0)</f>
        <v>0.14478088269634934</v>
      </c>
      <c r="CB64" s="3">
        <f>SUM(CB62:CB63)</f>
        <v>4104</v>
      </c>
      <c r="CC64" s="1">
        <f>IFERROR(CB64/CB$15,0)</f>
        <v>0.1406298187300826</v>
      </c>
      <c r="CD64" s="3">
        <f>SUM(CD62:CD63)</f>
        <v>4212</v>
      </c>
      <c r="CE64" s="1">
        <f>IFERROR(CD64/CD$15,0)</f>
        <v>0.14199507804335368</v>
      </c>
      <c r="CF64" s="3">
        <f>SUM(CF62:CF63)</f>
        <v>4464</v>
      </c>
      <c r="CG64" s="1">
        <f>IFERROR(CF64/CF$15,0)</f>
        <v>0.14285714285714285</v>
      </c>
      <c r="CH64" s="3">
        <f>SUM(CH62:CH63)</f>
        <v>4464</v>
      </c>
      <c r="CI64" s="1">
        <f>IFERROR(CH64/CH$15,0)</f>
        <v>0.14319165998396149</v>
      </c>
      <c r="CJ64" s="3">
        <f>SUM(CJ62:CJ63)</f>
        <v>4440</v>
      </c>
      <c r="CK64" s="1">
        <f>IFERROR(CJ64/CJ$15,0)</f>
        <v>0.13291025564269893</v>
      </c>
      <c r="CL64" s="3">
        <f>SUM(CL62:CL63)</f>
        <v>4812</v>
      </c>
      <c r="CM64" s="1">
        <f>IFERROR(CL64/CL$15,0)</f>
        <v>0.1329171615611966</v>
      </c>
      <c r="CN64" s="3">
        <f>SUM(CN62:CN63)</f>
        <v>4692</v>
      </c>
      <c r="CO64" s="1">
        <f>IFERROR(CN64/CN$15,0)</f>
        <v>0.14216889373693301</v>
      </c>
      <c r="CP64" s="3">
        <f>SUM(CP62:CP63)</f>
        <v>4176</v>
      </c>
      <c r="CQ64" s="1">
        <f>IFERROR(CP64/CP$15,0)</f>
        <v>0.13604821632187653</v>
      </c>
      <c r="CR64" s="3">
        <f>SUM(CR62:CR63)</f>
        <v>3612</v>
      </c>
      <c r="CS64" s="1">
        <f>IFERROR(CR64/CR$15,0)</f>
        <v>0.1379731846136216</v>
      </c>
      <c r="CT64" s="3">
        <f>SUM(CT62:CT63)</f>
        <v>4128</v>
      </c>
      <c r="CU64" s="1">
        <f>IFERROR(CT64/CT$15,0)</f>
        <v>0.13744422987281082</v>
      </c>
      <c r="CV64" s="3">
        <f>SUM(CV62:CV63)</f>
        <v>4068</v>
      </c>
      <c r="CW64" s="1">
        <f>IFERROR(CV64/CV$15,0)</f>
        <v>0.12915105720998157</v>
      </c>
      <c r="CX64" s="3">
        <f>SUM(CX62:CX63)</f>
        <v>4500</v>
      </c>
      <c r="CY64" s="1">
        <f>IFERROR(CX64/CX$15,0)</f>
        <v>0.12677484787018256</v>
      </c>
      <c r="CZ64" s="3">
        <f>SUM(CZ62:CZ63)</f>
        <v>4752</v>
      </c>
      <c r="DA64" s="1">
        <f>IFERROR(CZ64/CZ$15,0)</f>
        <v>0.12757731958762886</v>
      </c>
      <c r="DB64" s="3">
        <f>SUM(DB62:DB63)</f>
        <v>4848</v>
      </c>
      <c r="DC64" s="1">
        <f>IFERROR(DB64/DB$15,0)</f>
        <v>0.12538471485839908</v>
      </c>
      <c r="DD64" s="3">
        <f>SUM(OSRRefD63x_0)</f>
        <v>230784</v>
      </c>
      <c r="DE64" s="1">
        <f>IFERROR(DD64/DD$15,0)</f>
        <v>0.12852164247344464</v>
      </c>
      <c r="DF64" s="28"/>
    </row>
    <row r="65" spans="2:110" outlineLevel="1" x14ac:dyDescent="0.25">
      <c r="D65" s="5"/>
      <c r="E65" s="2"/>
      <c r="F65" s="5"/>
      <c r="G65" s="2"/>
      <c r="H65" s="5"/>
      <c r="I65" s="2"/>
      <c r="J65" s="5"/>
      <c r="K65" s="2"/>
      <c r="L65" s="5"/>
      <c r="M65" s="2"/>
      <c r="N65" s="5"/>
      <c r="O65" s="2"/>
      <c r="P65" s="5"/>
      <c r="Q65" s="2"/>
      <c r="R65" s="5"/>
      <c r="S65" s="2"/>
      <c r="T65" s="5"/>
      <c r="U65" s="2"/>
      <c r="V65" s="5"/>
      <c r="W65" s="2"/>
      <c r="X65" s="5"/>
      <c r="Y65" s="2"/>
      <c r="Z65" s="5"/>
      <c r="AA65" s="2"/>
      <c r="AB65" s="5"/>
      <c r="AC65" s="2"/>
      <c r="AD65" s="5"/>
      <c r="AE65" s="2"/>
      <c r="AF65" s="5"/>
      <c r="AG65" s="2"/>
      <c r="AH65" s="5"/>
      <c r="AI65" s="2"/>
      <c r="AJ65" s="5"/>
      <c r="AK65" s="2"/>
      <c r="AL65" s="5"/>
      <c r="AM65" s="2"/>
      <c r="AN65" s="5"/>
      <c r="AO65" s="2"/>
      <c r="AP65" s="5"/>
      <c r="AQ65" s="2"/>
      <c r="AR65" s="5"/>
      <c r="AS65" s="2"/>
      <c r="AT65" s="5"/>
      <c r="AU65" s="2"/>
      <c r="AV65" s="5"/>
      <c r="AW65" s="2"/>
      <c r="AX65" s="5"/>
      <c r="AY65" s="2"/>
      <c r="AZ65" s="5"/>
      <c r="BA65" s="2"/>
      <c r="BB65" s="5"/>
      <c r="BC65" s="2"/>
      <c r="BD65" s="5"/>
      <c r="BE65" s="2"/>
      <c r="BF65" s="5"/>
      <c r="BG65" s="2"/>
      <c r="BH65" s="5"/>
      <c r="BI65" s="2"/>
      <c r="BJ65" s="5"/>
      <c r="BK65" s="2"/>
      <c r="BL65" s="5"/>
      <c r="BM65" s="2"/>
      <c r="BN65" s="5"/>
      <c r="BO65" s="2"/>
      <c r="BP65" s="5"/>
      <c r="BQ65" s="2"/>
      <c r="BR65" s="5"/>
      <c r="BS65" s="2"/>
      <c r="BT65" s="5"/>
      <c r="BU65" s="2"/>
      <c r="BV65" s="5"/>
      <c r="BW65" s="2"/>
      <c r="BX65" s="5"/>
      <c r="BY65" s="2"/>
      <c r="BZ65" s="5"/>
      <c r="CA65" s="2"/>
      <c r="CB65" s="5"/>
      <c r="CC65" s="2"/>
      <c r="CD65" s="5"/>
      <c r="CE65" s="2"/>
      <c r="CF65" s="5"/>
      <c r="CG65" s="2"/>
      <c r="CH65" s="5"/>
      <c r="CI65" s="2"/>
      <c r="CJ65" s="5"/>
      <c r="CK65" s="2"/>
      <c r="CL65" s="5"/>
      <c r="CM65" s="2"/>
      <c r="CN65" s="5"/>
      <c r="CO65" s="2"/>
      <c r="CP65" s="5"/>
      <c r="CQ65" s="2"/>
      <c r="CR65" s="5"/>
      <c r="CS65" s="2"/>
      <c r="CT65" s="5"/>
      <c r="CU65" s="2"/>
      <c r="CV65" s="5"/>
      <c r="CW65" s="2"/>
      <c r="CX65" s="5"/>
      <c r="CY65" s="2"/>
      <c r="CZ65" s="5"/>
      <c r="DA65" s="2"/>
      <c r="DB65" s="5"/>
      <c r="DC65" s="2"/>
      <c r="DD65" s="5"/>
      <c r="DE65" s="2"/>
      <c r="DF65" s="28"/>
    </row>
    <row r="66" spans="2:110" outlineLevel="1" x14ac:dyDescent="0.25">
      <c r="B66">
        <v>51120</v>
      </c>
      <c r="C66" t="s">
        <v>48</v>
      </c>
      <c r="D66" s="5">
        <f>IFERROR(1992,0)</f>
        <v>1992</v>
      </c>
      <c r="E66" s="4">
        <f>IFERROR(D66/D$11,0)</f>
        <v>5.2758428900601215E-2</v>
      </c>
      <c r="F66" s="5">
        <f>IFERROR(2064,0)</f>
        <v>2064</v>
      </c>
      <c r="G66" s="4">
        <f>IFERROR(F66/F$11,0)</f>
        <v>5.4535366079213679E-2</v>
      </c>
      <c r="H66" s="5">
        <f>IFERROR(1706,0)</f>
        <v>1706</v>
      </c>
      <c r="I66" s="4">
        <f>IFERROR(H66/H$11,0)</f>
        <v>5.2207975028307374E-2</v>
      </c>
      <c r="J66" s="5">
        <f>IFERROR(1927,0)</f>
        <v>1927</v>
      </c>
      <c r="K66" s="4">
        <f>IFERROR(J66/J$11,0)</f>
        <v>5.045427172518524E-2</v>
      </c>
      <c r="L66" s="5">
        <f>IFERROR(2093,0)</f>
        <v>2093</v>
      </c>
      <c r="M66" s="4">
        <f>IFERROR(L66/L$11,0)</f>
        <v>5.172754683406653E-2</v>
      </c>
      <c r="N66" s="5">
        <f>IFERROR(2080,0)</f>
        <v>2080</v>
      </c>
      <c r="O66" s="4">
        <f>IFERROR(N66/N$11,0)</f>
        <v>5.1795408137855471E-2</v>
      </c>
      <c r="P66" s="5">
        <f>IFERROR(2870,0)</f>
        <v>2870</v>
      </c>
      <c r="Q66" s="4">
        <f>IFERROR(P66/P$11,0)</f>
        <v>5.1735015772870666E-2</v>
      </c>
      <c r="R66" s="5">
        <f>IFERROR(2889,0)</f>
        <v>2889</v>
      </c>
      <c r="S66" s="4">
        <f>IFERROR(R66/R$11,0)</f>
        <v>5.2579852579852579E-2</v>
      </c>
      <c r="T66" s="5">
        <f>IFERROR(2876,0)</f>
        <v>2876</v>
      </c>
      <c r="U66" s="4">
        <f>IFERROR(T66/T$11,0)</f>
        <v>5.3205068911294055E-2</v>
      </c>
      <c r="V66" s="5">
        <f>IFERROR(2857,0)</f>
        <v>2857</v>
      </c>
      <c r="W66" s="4">
        <f>IFERROR(V66/V$11,0)</f>
        <v>5.1159459217476944E-2</v>
      </c>
      <c r="X66" s="5">
        <f>IFERROR(2694,0)</f>
        <v>2694</v>
      </c>
      <c r="Y66" s="4">
        <f>IFERROR(X66/X$11,0)</f>
        <v>5.0732552446235549E-2</v>
      </c>
      <c r="Z66" s="5">
        <f>IFERROR(2590,0)</f>
        <v>2590</v>
      </c>
      <c r="AA66" s="4">
        <f>IFERROR(Z66/Z$11,0)</f>
        <v>5.1236399604352126E-2</v>
      </c>
      <c r="AB66" s="5">
        <f>IFERROR(2694,0)</f>
        <v>2694</v>
      </c>
      <c r="AC66" s="4">
        <f>IFERROR(AB66/AB$11,0)</f>
        <v>5.1011133833219723E-2</v>
      </c>
      <c r="AD66" s="5">
        <f>IFERROR(2444,0)</f>
        <v>2444</v>
      </c>
      <c r="AE66" s="4">
        <f>IFERROR(AD66/AD$11,0)</f>
        <v>5.0889101736559361E-2</v>
      </c>
      <c r="AF66" s="5">
        <f>IFERROR(2535,0)</f>
        <v>2535</v>
      </c>
      <c r="AG66" s="4">
        <f>IFERROR(AF66/AF$11,0)</f>
        <v>5.1338652841346345E-2</v>
      </c>
      <c r="AH66" s="5">
        <f>IFERROR(2087,0)</f>
        <v>2087</v>
      </c>
      <c r="AI66" s="4">
        <f>IFERROR(AH66/AH$11,0)</f>
        <v>5.1924464458985395E-2</v>
      </c>
      <c r="AJ66" s="5">
        <f>IFERROR(2535,0)</f>
        <v>2535</v>
      </c>
      <c r="AK66" s="4">
        <f>IFERROR(AJ66/AJ$11,0)</f>
        <v>5.2657817660621921E-2</v>
      </c>
      <c r="AL66" s="5">
        <f>IFERROR(2386,0)</f>
        <v>2386</v>
      </c>
      <c r="AM66" s="4">
        <f>IFERROR(AL66/AL$11,0)</f>
        <v>5.3124930421036227E-2</v>
      </c>
      <c r="AN66" s="5">
        <f>IFERROR(2896,0)</f>
        <v>2896</v>
      </c>
      <c r="AO66" s="4">
        <f>IFERROR(AN66/AN$11,0)</f>
        <v>5.291914116034719E-2</v>
      </c>
      <c r="AP66" s="5">
        <f>IFERROR(2629,0)</f>
        <v>2629</v>
      </c>
      <c r="AQ66" s="4">
        <f>IFERROR(AP66/AP$11,0)</f>
        <v>5.340782122905028E-2</v>
      </c>
      <c r="AR66" s="5">
        <f>IFERROR(2672,0)</f>
        <v>2672</v>
      </c>
      <c r="AS66" s="4">
        <f>IFERROR(AR66/AR$11,0)</f>
        <v>5.2539473425487149E-2</v>
      </c>
      <c r="AT66" s="5">
        <f>IFERROR(2538,0)</f>
        <v>2538</v>
      </c>
      <c r="AU66" s="4">
        <f>IFERROR(AT66/AT$11,0)</f>
        <v>5.2679646311594504E-2</v>
      </c>
      <c r="AV66" s="5">
        <f>IFERROR(2161,0)</f>
        <v>2161</v>
      </c>
      <c r="AW66" s="4">
        <f>IFERROR(AV66/AV$11,0)</f>
        <v>5.2437456019024047E-2</v>
      </c>
      <c r="AX66" s="5">
        <f>IFERROR(2665,0)</f>
        <v>2665</v>
      </c>
      <c r="AY66" s="4">
        <f>IFERROR(AX66/AX$11,0)</f>
        <v>5.1785783685049165E-2</v>
      </c>
      <c r="AZ66" s="5">
        <f>IFERROR(2142,0)</f>
        <v>2142</v>
      </c>
      <c r="BA66" s="4">
        <f>IFERROR(AZ66/AZ$11,0)</f>
        <v>5.1496574107464839E-2</v>
      </c>
      <c r="BB66" s="5">
        <f>IFERROR(2210,0)</f>
        <v>2210</v>
      </c>
      <c r="BC66" s="4">
        <f>IFERROR(BB66/BB$11,0)</f>
        <v>5.0911101384505518E-2</v>
      </c>
      <c r="BD66" s="5">
        <f>IFERROR(2093,0)</f>
        <v>2093</v>
      </c>
      <c r="BE66" s="4">
        <f>IFERROR(BD66/BD$11,0)</f>
        <v>5.2446939133485353E-2</v>
      </c>
      <c r="BF66" s="5">
        <f>IFERROR(1973,0)</f>
        <v>1973</v>
      </c>
      <c r="BG66" s="4">
        <f>IFERROR(BF66/BF$11,0)</f>
        <v>5.0653385022207391E-2</v>
      </c>
      <c r="BH66" s="5">
        <f>IFERROR(1960,0)</f>
        <v>1960</v>
      </c>
      <c r="BI66" s="4">
        <f>IFERROR(BH66/BH$11,0)</f>
        <v>5.1972846839202377E-2</v>
      </c>
      <c r="BJ66" s="5">
        <f>IFERROR(1979,0)</f>
        <v>1979</v>
      </c>
      <c r="BK66" s="4">
        <f>IFERROR(BJ66/BJ$11,0)</f>
        <v>5.1156779113351425E-2</v>
      </c>
      <c r="BL66" s="5">
        <f>IFERROR(2220,0)</f>
        <v>2220</v>
      </c>
      <c r="BM66" s="4">
        <f>IFERROR(BL66/BL$11,0)</f>
        <v>5.1914037836447394E-2</v>
      </c>
      <c r="BN66" s="5">
        <f>IFERROR(2083,0)</f>
        <v>2083</v>
      </c>
      <c r="BO66" s="4">
        <f>IFERROR(BN66/BN$11,0)</f>
        <v>5.1985325313833639E-2</v>
      </c>
      <c r="BP66" s="5">
        <f>IFERROR(1872,0)</f>
        <v>1872</v>
      </c>
      <c r="BQ66" s="4">
        <f>IFERROR(BP66/BP$11,0)</f>
        <v>5.2800812320189544E-2</v>
      </c>
      <c r="BR66" s="5">
        <f>IFERROR(1729,0)</f>
        <v>1729</v>
      </c>
      <c r="BS66" s="4">
        <f>IFERROR(BR66/BR$11,0)</f>
        <v>5.2111275204195423E-2</v>
      </c>
      <c r="BT66" s="5">
        <f>IFERROR(2207,0)</f>
        <v>2207</v>
      </c>
      <c r="BU66" s="4">
        <f>IFERROR(BT66/BT$11,0)</f>
        <v>5.1728583147779207E-2</v>
      </c>
      <c r="BV66" s="5">
        <f>IFERROR(1804,0)</f>
        <v>1804</v>
      </c>
      <c r="BW66" s="4">
        <f>IFERROR(BV66/BV$11,0)</f>
        <v>5.2686915887850468E-2</v>
      </c>
      <c r="BX66" s="5">
        <f>IFERROR(1996,0)</f>
        <v>1996</v>
      </c>
      <c r="BY66" s="4">
        <f>IFERROR(BX66/BX$11,0)</f>
        <v>5.3543645045335049E-2</v>
      </c>
      <c r="BZ66" s="5">
        <f>IFERROR(1820,0)</f>
        <v>1820</v>
      </c>
      <c r="CA66" s="4">
        <f>IFERROR(BZ66/BZ$11,0)</f>
        <v>5.5426970398343281E-2</v>
      </c>
      <c r="CB66" s="5">
        <f>IFERROR(2028,0)</f>
        <v>2028</v>
      </c>
      <c r="CC66" s="4">
        <f>IFERROR(CB66/CB$11,0)</f>
        <v>5.450733752620545E-2</v>
      </c>
      <c r="CD66" s="5">
        <f>IFERROR(2148,0)</f>
        <v>2148</v>
      </c>
      <c r="CE66" s="4">
        <f>IFERROR(CD66/CD$11,0)</f>
        <v>5.7510040160642567E-2</v>
      </c>
      <c r="CF66" s="5">
        <f>IFERROR(2243,0)</f>
        <v>2243</v>
      </c>
      <c r="CG66" s="4">
        <f>IFERROR(CF66/CF$11,0)</f>
        <v>5.8686551543694399E-2</v>
      </c>
      <c r="CH66" s="5">
        <f>IFERROR(2269,0)</f>
        <v>2269</v>
      </c>
      <c r="CI66" s="4">
        <f>IFERROR(CH66/CH$11,0)</f>
        <v>5.7953616673477724E-2</v>
      </c>
      <c r="CJ66" s="5">
        <f>IFERROR(2249,0)</f>
        <v>2249</v>
      </c>
      <c r="CK66" s="4">
        <f>IFERROR(CJ66/CJ$11,0)</f>
        <v>5.3997599039615846E-2</v>
      </c>
      <c r="CL66" s="5">
        <f>IFERROR(2512,0)</f>
        <v>2512</v>
      </c>
      <c r="CM66" s="4">
        <f>IFERROR(CL66/CL$11,0)</f>
        <v>5.5724394951085873E-2</v>
      </c>
      <c r="CN66" s="5">
        <f>IFERROR(2454,0)</f>
        <v>2454</v>
      </c>
      <c r="CO66" s="4">
        <f>IFERROR(CN66/CN$11,0)</f>
        <v>5.9518323591472438E-2</v>
      </c>
      <c r="CP66" s="5">
        <f>IFERROR(2074,0)</f>
        <v>2074</v>
      </c>
      <c r="CQ66" s="4">
        <f>IFERROR(CP66/CP$11,0)</f>
        <v>5.2369769966921699E-2</v>
      </c>
      <c r="CR66" s="5">
        <f>IFERROR(1758,0)</f>
        <v>1758</v>
      </c>
      <c r="CS66" s="4">
        <f>IFERROR(CR66/CR$11,0)</f>
        <v>5.3403809350223277E-2</v>
      </c>
      <c r="CT66" s="5">
        <f>IFERROR(2041,0)</f>
        <v>2041</v>
      </c>
      <c r="CU66" s="4">
        <f>IFERROR(CT66/CT$11,0)</f>
        <v>5.3408347507523227E-2</v>
      </c>
      <c r="CV66" s="5">
        <f>IFERROR(2057,0)</f>
        <v>2057</v>
      </c>
      <c r="CW66" s="4">
        <f>IFERROR(CV66/CV$11,0)</f>
        <v>5.2732772764561113E-2</v>
      </c>
      <c r="CX66" s="5">
        <f>IFERROR(2301,0)</f>
        <v>2301</v>
      </c>
      <c r="CY66" s="4">
        <f>IFERROR(CX66/CX$11,0)</f>
        <v>5.1036930242874569E-2</v>
      </c>
      <c r="CZ66" s="5">
        <f>IFERROR(2470,0)</f>
        <v>2470</v>
      </c>
      <c r="DA66" s="4">
        <f>IFERROR(CZ66/CZ$11,0)</f>
        <v>5.3785684733140257E-2</v>
      </c>
      <c r="DB66" s="5">
        <f>IFERROR(2545,0)</f>
        <v>2545</v>
      </c>
      <c r="DC66" s="4">
        <f>IFERROR(DB66/DB$11,0)</f>
        <v>5.4473458904109588E-2</v>
      </c>
      <c r="DD66" s="5">
        <f>SUM(OSRRefD65_0x_0)</f>
        <v>118117</v>
      </c>
      <c r="DE66" s="4">
        <f>IFERROR(DD66/DD$11,0)</f>
        <v>5.2818260235362929E-2</v>
      </c>
      <c r="DF66" s="28"/>
    </row>
    <row r="67" spans="2:110" ht="7.5" customHeight="1" x14ac:dyDescent="0.25">
      <c r="D67" s="5"/>
      <c r="E67" s="2"/>
      <c r="F67" s="5"/>
      <c r="G67" s="2"/>
      <c r="H67" s="5"/>
      <c r="I67" s="2"/>
      <c r="J67" s="5"/>
      <c r="K67" s="2"/>
      <c r="L67" s="5"/>
      <c r="M67" s="2"/>
      <c r="N67" s="5"/>
      <c r="O67" s="2"/>
      <c r="P67" s="5"/>
      <c r="Q67" s="2"/>
      <c r="R67" s="5"/>
      <c r="S67" s="2"/>
      <c r="T67" s="5"/>
      <c r="U67" s="2"/>
      <c r="V67" s="5"/>
      <c r="W67" s="2"/>
      <c r="X67" s="5"/>
      <c r="Y67" s="2"/>
      <c r="Z67" s="5"/>
      <c r="AA67" s="2"/>
      <c r="AB67" s="5"/>
      <c r="AC67" s="2"/>
      <c r="AD67" s="5"/>
      <c r="AE67" s="2"/>
      <c r="AF67" s="5"/>
      <c r="AG67" s="2"/>
      <c r="AH67" s="5"/>
      <c r="AI67" s="2"/>
      <c r="AJ67" s="5"/>
      <c r="AK67" s="2"/>
      <c r="AL67" s="5"/>
      <c r="AM67" s="2"/>
      <c r="AN67" s="5"/>
      <c r="AO67" s="2"/>
      <c r="AP67" s="5"/>
      <c r="AQ67" s="2"/>
      <c r="AR67" s="5"/>
      <c r="AS67" s="2"/>
      <c r="AT67" s="5"/>
      <c r="AU67" s="2"/>
      <c r="AV67" s="5"/>
      <c r="AW67" s="2"/>
      <c r="AX67" s="5"/>
      <c r="AY67" s="2"/>
      <c r="AZ67" s="5"/>
      <c r="BA67" s="2"/>
      <c r="BB67" s="5"/>
      <c r="BC67" s="2"/>
      <c r="BD67" s="5"/>
      <c r="BE67" s="2"/>
      <c r="BF67" s="5"/>
      <c r="BG67" s="2"/>
      <c r="BH67" s="5"/>
      <c r="BI67" s="2"/>
      <c r="BJ67" s="5"/>
      <c r="BK67" s="2"/>
      <c r="BL67" s="5"/>
      <c r="BM67" s="2"/>
      <c r="BN67" s="5"/>
      <c r="BO67" s="2"/>
      <c r="BP67" s="5"/>
      <c r="BQ67" s="2"/>
      <c r="BR67" s="5"/>
      <c r="BS67" s="2"/>
      <c r="BT67" s="5"/>
      <c r="BU67" s="2"/>
      <c r="BV67" s="5"/>
      <c r="BW67" s="2"/>
      <c r="BX67" s="5"/>
      <c r="BY67" s="2"/>
      <c r="BZ67" s="5"/>
      <c r="CA67" s="2"/>
      <c r="CB67" s="5"/>
      <c r="CC67" s="2"/>
      <c r="CD67" s="5"/>
      <c r="CE67" s="2"/>
      <c r="CF67" s="5"/>
      <c r="CG67" s="2"/>
      <c r="CH67" s="5"/>
      <c r="CI67" s="2"/>
      <c r="CJ67" s="5"/>
      <c r="CK67" s="2"/>
      <c r="CL67" s="5"/>
      <c r="CM67" s="2"/>
      <c r="CN67" s="5"/>
      <c r="CO67" s="2"/>
      <c r="CP67" s="5"/>
      <c r="CQ67" s="2"/>
      <c r="CR67" s="5"/>
      <c r="CS67" s="2"/>
      <c r="CT67" s="5"/>
      <c r="CU67" s="2"/>
      <c r="CV67" s="5"/>
      <c r="CW67" s="2"/>
      <c r="CX67" s="5"/>
      <c r="CY67" s="2"/>
      <c r="CZ67" s="5"/>
      <c r="DA67" s="2"/>
      <c r="DB67" s="5"/>
      <c r="DC67" s="2"/>
      <c r="DD67" s="5"/>
      <c r="DE67" s="2"/>
      <c r="DF67" s="28"/>
    </row>
    <row r="68" spans="2:110" x14ac:dyDescent="0.25">
      <c r="B68" s="30"/>
      <c r="C68" s="31" t="s">
        <v>9</v>
      </c>
      <c r="D68" s="3">
        <f>SUM(D66:D67)</f>
        <v>1992</v>
      </c>
      <c r="E68" s="1">
        <f>IFERROR(D68/D$11,0)</f>
        <v>5.2758428900601215E-2</v>
      </c>
      <c r="F68" s="3">
        <f>SUM(F66:F67)</f>
        <v>2064</v>
      </c>
      <c r="G68" s="1">
        <f>IFERROR(F68/F$11,0)</f>
        <v>5.4535366079213679E-2</v>
      </c>
      <c r="H68" s="3">
        <f>SUM(H66:H67)</f>
        <v>1706</v>
      </c>
      <c r="I68" s="1">
        <f>IFERROR(H68/H$11,0)</f>
        <v>5.2207975028307374E-2</v>
      </c>
      <c r="J68" s="3">
        <f>SUM(J66:J67)</f>
        <v>1927</v>
      </c>
      <c r="K68" s="1">
        <f>IFERROR(J68/J$11,0)</f>
        <v>5.045427172518524E-2</v>
      </c>
      <c r="L68" s="3">
        <f>SUM(L66:L67)</f>
        <v>2093</v>
      </c>
      <c r="M68" s="1">
        <f>IFERROR(L68/L$11,0)</f>
        <v>5.172754683406653E-2</v>
      </c>
      <c r="N68" s="3">
        <f>SUM(N66:N67)</f>
        <v>2080</v>
      </c>
      <c r="O68" s="1">
        <f>IFERROR(N68/N$11,0)</f>
        <v>5.1795408137855471E-2</v>
      </c>
      <c r="P68" s="3">
        <f>SUM(P66:P67)</f>
        <v>2870</v>
      </c>
      <c r="Q68" s="1">
        <f>IFERROR(P68/P$11,0)</f>
        <v>5.1735015772870666E-2</v>
      </c>
      <c r="R68" s="3">
        <f>SUM(R66:R67)</f>
        <v>2889</v>
      </c>
      <c r="S68" s="1">
        <f>IFERROR(R68/R$11,0)</f>
        <v>5.2579852579852579E-2</v>
      </c>
      <c r="T68" s="3">
        <f>SUM(T66:T67)</f>
        <v>2876</v>
      </c>
      <c r="U68" s="1">
        <f>IFERROR(T68/T$11,0)</f>
        <v>5.3205068911294055E-2</v>
      </c>
      <c r="V68" s="3">
        <f>SUM(V66:V67)</f>
        <v>2857</v>
      </c>
      <c r="W68" s="1">
        <f>IFERROR(V68/V$11,0)</f>
        <v>5.1159459217476944E-2</v>
      </c>
      <c r="X68" s="3">
        <f>SUM(X66:X67)</f>
        <v>2694</v>
      </c>
      <c r="Y68" s="1">
        <f>IFERROR(X68/X$11,0)</f>
        <v>5.0732552446235549E-2</v>
      </c>
      <c r="Z68" s="3">
        <f>SUM(Z66:Z67)</f>
        <v>2590</v>
      </c>
      <c r="AA68" s="1">
        <f>IFERROR(Z68/Z$11,0)</f>
        <v>5.1236399604352126E-2</v>
      </c>
      <c r="AB68" s="3">
        <f>SUM(AB66:AB67)</f>
        <v>2694</v>
      </c>
      <c r="AC68" s="1">
        <f>IFERROR(AB68/AB$11,0)</f>
        <v>5.1011133833219723E-2</v>
      </c>
      <c r="AD68" s="3">
        <f>SUM(AD66:AD67)</f>
        <v>2444</v>
      </c>
      <c r="AE68" s="1">
        <f>IFERROR(AD68/AD$11,0)</f>
        <v>5.0889101736559361E-2</v>
      </c>
      <c r="AF68" s="3">
        <f>SUM(AF66:AF67)</f>
        <v>2535</v>
      </c>
      <c r="AG68" s="1">
        <f>IFERROR(AF68/AF$11,0)</f>
        <v>5.1338652841346345E-2</v>
      </c>
      <c r="AH68" s="3">
        <f>SUM(AH66:AH67)</f>
        <v>2087</v>
      </c>
      <c r="AI68" s="1">
        <f>IFERROR(AH68/AH$11,0)</f>
        <v>5.1924464458985395E-2</v>
      </c>
      <c r="AJ68" s="3">
        <f>SUM(AJ66:AJ67)</f>
        <v>2535</v>
      </c>
      <c r="AK68" s="1">
        <f>IFERROR(AJ68/AJ$11,0)</f>
        <v>5.2657817660621921E-2</v>
      </c>
      <c r="AL68" s="3">
        <f>SUM(AL66:AL67)</f>
        <v>2386</v>
      </c>
      <c r="AM68" s="1">
        <f>IFERROR(AL68/AL$11,0)</f>
        <v>5.3124930421036227E-2</v>
      </c>
      <c r="AN68" s="3">
        <f>SUM(AN66:AN67)</f>
        <v>2896</v>
      </c>
      <c r="AO68" s="1">
        <f>IFERROR(AN68/AN$11,0)</f>
        <v>5.291914116034719E-2</v>
      </c>
      <c r="AP68" s="3">
        <f>SUM(AP66:AP67)</f>
        <v>2629</v>
      </c>
      <c r="AQ68" s="1">
        <f>IFERROR(AP68/AP$11,0)</f>
        <v>5.340782122905028E-2</v>
      </c>
      <c r="AR68" s="3">
        <f>SUM(AR66:AR67)</f>
        <v>2672</v>
      </c>
      <c r="AS68" s="1">
        <f>IFERROR(AR68/AR$11,0)</f>
        <v>5.2539473425487149E-2</v>
      </c>
      <c r="AT68" s="3">
        <f>SUM(AT66:AT67)</f>
        <v>2538</v>
      </c>
      <c r="AU68" s="1">
        <f>IFERROR(AT68/AT$11,0)</f>
        <v>5.2679646311594504E-2</v>
      </c>
      <c r="AV68" s="3">
        <f>SUM(AV66:AV67)</f>
        <v>2161</v>
      </c>
      <c r="AW68" s="1">
        <f>IFERROR(AV68/AV$11,0)</f>
        <v>5.2437456019024047E-2</v>
      </c>
      <c r="AX68" s="3">
        <f>SUM(AX66:AX67)</f>
        <v>2665</v>
      </c>
      <c r="AY68" s="1">
        <f>IFERROR(AX68/AX$11,0)</f>
        <v>5.1785783685049165E-2</v>
      </c>
      <c r="AZ68" s="3">
        <f>SUM(AZ66:AZ67)</f>
        <v>2142</v>
      </c>
      <c r="BA68" s="1">
        <f>IFERROR(AZ68/AZ$11,0)</f>
        <v>5.1496574107464839E-2</v>
      </c>
      <c r="BB68" s="3">
        <f>SUM(BB66:BB67)</f>
        <v>2210</v>
      </c>
      <c r="BC68" s="1">
        <f>IFERROR(BB68/BB$11,0)</f>
        <v>5.0911101384505518E-2</v>
      </c>
      <c r="BD68" s="3">
        <f>SUM(BD66:BD67)</f>
        <v>2093</v>
      </c>
      <c r="BE68" s="1">
        <f>IFERROR(BD68/BD$11,0)</f>
        <v>5.2446939133485353E-2</v>
      </c>
      <c r="BF68" s="3">
        <f>SUM(BF66:BF67)</f>
        <v>1973</v>
      </c>
      <c r="BG68" s="1">
        <f>IFERROR(BF68/BF$11,0)</f>
        <v>5.0653385022207391E-2</v>
      </c>
      <c r="BH68" s="3">
        <f>SUM(BH66:BH67)</f>
        <v>1960</v>
      </c>
      <c r="BI68" s="1">
        <f>IFERROR(BH68/BH$11,0)</f>
        <v>5.1972846839202377E-2</v>
      </c>
      <c r="BJ68" s="3">
        <f>SUM(BJ66:BJ67)</f>
        <v>1979</v>
      </c>
      <c r="BK68" s="1">
        <f>IFERROR(BJ68/BJ$11,0)</f>
        <v>5.1156779113351425E-2</v>
      </c>
      <c r="BL68" s="3">
        <f>SUM(BL66:BL67)</f>
        <v>2220</v>
      </c>
      <c r="BM68" s="1">
        <f>IFERROR(BL68/BL$11,0)</f>
        <v>5.1914037836447394E-2</v>
      </c>
      <c r="BN68" s="3">
        <f>SUM(BN66:BN67)</f>
        <v>2083</v>
      </c>
      <c r="BO68" s="1">
        <f>IFERROR(BN68/BN$11,0)</f>
        <v>5.1985325313833639E-2</v>
      </c>
      <c r="BP68" s="3">
        <f>SUM(BP66:BP67)</f>
        <v>1872</v>
      </c>
      <c r="BQ68" s="1">
        <f>IFERROR(BP68/BP$11,0)</f>
        <v>5.2800812320189544E-2</v>
      </c>
      <c r="BR68" s="3">
        <f>SUM(BR66:BR67)</f>
        <v>1729</v>
      </c>
      <c r="BS68" s="1">
        <f>IFERROR(BR68/BR$11,0)</f>
        <v>5.2111275204195423E-2</v>
      </c>
      <c r="BT68" s="3">
        <f>SUM(BT66:BT67)</f>
        <v>2207</v>
      </c>
      <c r="BU68" s="1">
        <f>IFERROR(BT68/BT$11,0)</f>
        <v>5.1728583147779207E-2</v>
      </c>
      <c r="BV68" s="3">
        <f>SUM(BV66:BV67)</f>
        <v>1804</v>
      </c>
      <c r="BW68" s="1">
        <f>IFERROR(BV68/BV$11,0)</f>
        <v>5.2686915887850468E-2</v>
      </c>
      <c r="BX68" s="3">
        <f>SUM(BX66:BX67)</f>
        <v>1996</v>
      </c>
      <c r="BY68" s="1">
        <f>IFERROR(BX68/BX$11,0)</f>
        <v>5.3543645045335049E-2</v>
      </c>
      <c r="BZ68" s="3">
        <f>SUM(BZ66:BZ67)</f>
        <v>1820</v>
      </c>
      <c r="CA68" s="1">
        <f>IFERROR(BZ68/BZ$11,0)</f>
        <v>5.5426970398343281E-2</v>
      </c>
      <c r="CB68" s="3">
        <f>SUM(CB66:CB67)</f>
        <v>2028</v>
      </c>
      <c r="CC68" s="1">
        <f>IFERROR(CB68/CB$11,0)</f>
        <v>5.450733752620545E-2</v>
      </c>
      <c r="CD68" s="3">
        <f>SUM(CD66:CD67)</f>
        <v>2148</v>
      </c>
      <c r="CE68" s="1">
        <f>IFERROR(CD68/CD$11,0)</f>
        <v>5.7510040160642567E-2</v>
      </c>
      <c r="CF68" s="3">
        <f>SUM(CF66:CF67)</f>
        <v>2243</v>
      </c>
      <c r="CG68" s="1">
        <f>IFERROR(CF68/CF$11,0)</f>
        <v>5.8686551543694399E-2</v>
      </c>
      <c r="CH68" s="3">
        <f>SUM(CH66:CH67)</f>
        <v>2269</v>
      </c>
      <c r="CI68" s="1">
        <f>IFERROR(CH68/CH$11,0)</f>
        <v>5.7953616673477724E-2</v>
      </c>
      <c r="CJ68" s="3">
        <f>SUM(CJ66:CJ67)</f>
        <v>2249</v>
      </c>
      <c r="CK68" s="1">
        <f>IFERROR(CJ68/CJ$11,0)</f>
        <v>5.3997599039615846E-2</v>
      </c>
      <c r="CL68" s="3">
        <f>SUM(CL66:CL67)</f>
        <v>2512</v>
      </c>
      <c r="CM68" s="1">
        <f>IFERROR(CL68/CL$11,0)</f>
        <v>5.5724394951085873E-2</v>
      </c>
      <c r="CN68" s="3">
        <f>SUM(CN66:CN67)</f>
        <v>2454</v>
      </c>
      <c r="CO68" s="1">
        <f>IFERROR(CN68/CN$11,0)</f>
        <v>5.9518323591472438E-2</v>
      </c>
      <c r="CP68" s="3">
        <f>SUM(CP66:CP67)</f>
        <v>2074</v>
      </c>
      <c r="CQ68" s="1">
        <f>IFERROR(CP68/CP$11,0)</f>
        <v>5.2369769966921699E-2</v>
      </c>
      <c r="CR68" s="3">
        <f>SUM(CR66:CR67)</f>
        <v>1758</v>
      </c>
      <c r="CS68" s="1">
        <f>IFERROR(CR68/CR$11,0)</f>
        <v>5.3403809350223277E-2</v>
      </c>
      <c r="CT68" s="3">
        <f>SUM(CT66:CT67)</f>
        <v>2041</v>
      </c>
      <c r="CU68" s="1">
        <f>IFERROR(CT68/CT$11,0)</f>
        <v>5.3408347507523227E-2</v>
      </c>
      <c r="CV68" s="3">
        <f>SUM(CV66:CV67)</f>
        <v>2057</v>
      </c>
      <c r="CW68" s="1">
        <f>IFERROR(CV68/CV$11,0)</f>
        <v>5.2732772764561113E-2</v>
      </c>
      <c r="CX68" s="3">
        <f>SUM(CX66:CX67)</f>
        <v>2301</v>
      </c>
      <c r="CY68" s="1">
        <f>IFERROR(CX68/CX$11,0)</f>
        <v>5.1036930242874569E-2</v>
      </c>
      <c r="CZ68" s="3">
        <f>SUM(CZ66:CZ67)</f>
        <v>2470</v>
      </c>
      <c r="DA68" s="1">
        <f>IFERROR(CZ68/CZ$11,0)</f>
        <v>5.3785684733140257E-2</v>
      </c>
      <c r="DB68" s="3">
        <f>SUM(DB66:DB67)</f>
        <v>2545</v>
      </c>
      <c r="DC68" s="1">
        <f>IFERROR(DB68/DB$11,0)</f>
        <v>5.4473458904109588E-2</v>
      </c>
      <c r="DD68" s="3">
        <f>SUM(OSRRefD67x_0)</f>
        <v>118117</v>
      </c>
      <c r="DE68" s="1">
        <f>IFERROR(DD68/DD$11,0)</f>
        <v>5.2818260235362929E-2</v>
      </c>
      <c r="DF68" s="28"/>
    </row>
    <row r="69" spans="2:110" s="29" customFormat="1" outlineLevel="1" x14ac:dyDescent="0.25">
      <c r="D69" s="5"/>
      <c r="E69" s="2"/>
      <c r="F69" s="5"/>
      <c r="G69" s="2"/>
      <c r="H69" s="5"/>
      <c r="I69" s="2"/>
      <c r="J69" s="5"/>
      <c r="K69" s="2"/>
      <c r="L69" s="5"/>
      <c r="M69" s="2"/>
      <c r="N69" s="5"/>
      <c r="O69" s="2"/>
      <c r="P69" s="5"/>
      <c r="Q69" s="2"/>
      <c r="R69" s="5"/>
      <c r="S69" s="2"/>
      <c r="T69" s="5"/>
      <c r="U69" s="2"/>
      <c r="V69" s="5"/>
      <c r="W69" s="2"/>
      <c r="X69" s="5"/>
      <c r="Y69" s="2"/>
      <c r="Z69" s="5"/>
      <c r="AA69" s="2"/>
      <c r="AB69" s="5"/>
      <c r="AC69" s="2"/>
      <c r="AD69" s="5"/>
      <c r="AE69" s="2"/>
      <c r="AF69" s="5"/>
      <c r="AG69" s="2"/>
      <c r="AH69" s="5"/>
      <c r="AI69" s="2"/>
      <c r="AJ69" s="5"/>
      <c r="AK69" s="2"/>
      <c r="AL69" s="5"/>
      <c r="AM69" s="2"/>
      <c r="AN69" s="5"/>
      <c r="AO69" s="2"/>
      <c r="AP69" s="5"/>
      <c r="AQ69" s="2"/>
      <c r="AR69" s="5"/>
      <c r="AS69" s="2"/>
      <c r="AT69" s="5"/>
      <c r="AU69" s="2"/>
      <c r="AV69" s="5"/>
      <c r="AW69" s="2"/>
      <c r="AX69" s="5"/>
      <c r="AY69" s="2"/>
      <c r="AZ69" s="5"/>
      <c r="BA69" s="2"/>
      <c r="BB69" s="5"/>
      <c r="BC69" s="2"/>
      <c r="BD69" s="5"/>
      <c r="BE69" s="2"/>
      <c r="BF69" s="5"/>
      <c r="BG69" s="2"/>
      <c r="BH69" s="5"/>
      <c r="BI69" s="2"/>
      <c r="BJ69" s="5"/>
      <c r="BK69" s="2"/>
      <c r="BL69" s="5"/>
      <c r="BM69" s="2"/>
      <c r="BN69" s="5"/>
      <c r="BO69" s="2"/>
      <c r="BP69" s="5"/>
      <c r="BQ69" s="2"/>
      <c r="BR69" s="5"/>
      <c r="BS69" s="2"/>
      <c r="BT69" s="5"/>
      <c r="BU69" s="2"/>
      <c r="BV69" s="5"/>
      <c r="BW69" s="2"/>
      <c r="BX69" s="5"/>
      <c r="BY69" s="2"/>
      <c r="BZ69" s="5"/>
      <c r="CA69" s="2"/>
      <c r="CB69" s="5"/>
      <c r="CC69" s="2"/>
      <c r="CD69" s="5"/>
      <c r="CE69" s="2"/>
      <c r="CF69" s="5"/>
      <c r="CG69" s="2"/>
      <c r="CH69" s="5"/>
      <c r="CI69" s="2"/>
      <c r="CJ69" s="5"/>
      <c r="CK69" s="2"/>
      <c r="CL69" s="5"/>
      <c r="CM69" s="2"/>
      <c r="CN69" s="5"/>
      <c r="CO69" s="2"/>
      <c r="CP69" s="5"/>
      <c r="CQ69" s="2"/>
      <c r="CR69" s="5"/>
      <c r="CS69" s="2"/>
      <c r="CT69" s="5"/>
      <c r="CU69" s="2"/>
      <c r="CV69" s="5"/>
      <c r="CW69" s="2"/>
      <c r="CX69" s="5"/>
      <c r="CY69" s="2"/>
      <c r="CZ69" s="5"/>
      <c r="DA69" s="2"/>
      <c r="DB69" s="5"/>
      <c r="DC69" s="2"/>
      <c r="DD69" s="5"/>
      <c r="DE69" s="2"/>
      <c r="DF69" s="33"/>
    </row>
    <row r="70" spans="2:110" outlineLevel="1" x14ac:dyDescent="0.25">
      <c r="B70">
        <v>51292</v>
      </c>
      <c r="C70" t="s">
        <v>49</v>
      </c>
      <c r="D70" s="5">
        <f>IFERROR(0,0)</f>
        <v>0</v>
      </c>
      <c r="E70" s="4">
        <f t="shared" ref="E70:E71" si="212">IFERROR(D70/D$11,0)</f>
        <v>0</v>
      </c>
      <c r="F70" s="5">
        <f>IFERROR(0,0)</f>
        <v>0</v>
      </c>
      <c r="G70" s="4">
        <f t="shared" ref="G70:G71" si="213">IFERROR(F70/F$11,0)</f>
        <v>0</v>
      </c>
      <c r="H70" s="5">
        <f>IFERROR(0,0)</f>
        <v>0</v>
      </c>
      <c r="I70" s="4">
        <f t="shared" ref="I70:I71" si="214">IFERROR(H70/H$11,0)</f>
        <v>0</v>
      </c>
      <c r="J70" s="5">
        <f>IFERROR(0,0)</f>
        <v>0</v>
      </c>
      <c r="K70" s="4">
        <f t="shared" ref="K70:K71" si="215">IFERROR(J70/J$11,0)</f>
        <v>0</v>
      </c>
      <c r="L70" s="5">
        <f>IFERROR(0,0)</f>
        <v>0</v>
      </c>
      <c r="M70" s="4">
        <f t="shared" ref="M70:M71" si="216">IFERROR(L70/L$11,0)</f>
        <v>0</v>
      </c>
      <c r="N70" s="5">
        <f>IFERROR(0,0)</f>
        <v>0</v>
      </c>
      <c r="O70" s="4">
        <f t="shared" ref="O70:O71" si="217">IFERROR(N70/N$11,0)</f>
        <v>0</v>
      </c>
      <c r="P70" s="5">
        <f>IFERROR(0,0)</f>
        <v>0</v>
      </c>
      <c r="Q70" s="4">
        <f t="shared" ref="Q70:Q71" si="218">IFERROR(P70/P$11,0)</f>
        <v>0</v>
      </c>
      <c r="R70" s="5">
        <f>IFERROR(0,0)</f>
        <v>0</v>
      </c>
      <c r="S70" s="4">
        <f t="shared" ref="S70:S71" si="219">IFERROR(R70/R$11,0)</f>
        <v>0</v>
      </c>
      <c r="T70" s="5">
        <f>IFERROR(0,0)</f>
        <v>0</v>
      </c>
      <c r="U70" s="4">
        <f t="shared" ref="U70:U71" si="220">IFERROR(T70/T$11,0)</f>
        <v>0</v>
      </c>
      <c r="V70" s="5">
        <f>IFERROR(0,0)</f>
        <v>0</v>
      </c>
      <c r="W70" s="4">
        <f t="shared" ref="W70:W71" si="221">IFERROR(V70/V$11,0)</f>
        <v>0</v>
      </c>
      <c r="X70" s="5">
        <f>IFERROR(0,0)</f>
        <v>0</v>
      </c>
      <c r="Y70" s="4">
        <f t="shared" ref="Y70:Y71" si="222">IFERROR(X70/X$11,0)</f>
        <v>0</v>
      </c>
      <c r="Z70" s="5">
        <f>IFERROR(0,0)</f>
        <v>0</v>
      </c>
      <c r="AA70" s="4">
        <f t="shared" ref="AA70:AA71" si="223">IFERROR(Z70/Z$11,0)</f>
        <v>0</v>
      </c>
      <c r="AB70" s="5">
        <f>IFERROR(0,0)</f>
        <v>0</v>
      </c>
      <c r="AC70" s="4">
        <f t="shared" ref="AC70:AC71" si="224">IFERROR(AB70/AB$11,0)</f>
        <v>0</v>
      </c>
      <c r="AD70" s="5">
        <f>IFERROR(0,0)</f>
        <v>0</v>
      </c>
      <c r="AE70" s="4">
        <f t="shared" ref="AE70:AE71" si="225">IFERROR(AD70/AD$11,0)</f>
        <v>0</v>
      </c>
      <c r="AF70" s="5">
        <f>IFERROR(0,0)</f>
        <v>0</v>
      </c>
      <c r="AG70" s="4">
        <f t="shared" ref="AG70:AG71" si="226">IFERROR(AF70/AF$11,0)</f>
        <v>0</v>
      </c>
      <c r="AH70" s="5">
        <f>IFERROR(0,0)</f>
        <v>0</v>
      </c>
      <c r="AI70" s="4">
        <f t="shared" ref="AI70:AI71" si="227">IFERROR(AH70/AH$11,0)</f>
        <v>0</v>
      </c>
      <c r="AJ70" s="5">
        <f>IFERROR(0,0)</f>
        <v>0</v>
      </c>
      <c r="AK70" s="4">
        <f t="shared" ref="AK70:AK71" si="228">IFERROR(AJ70/AJ$11,0)</f>
        <v>0</v>
      </c>
      <c r="AL70" s="5">
        <f>IFERROR(0,0)</f>
        <v>0</v>
      </c>
      <c r="AM70" s="4">
        <f t="shared" ref="AM70:AM71" si="229">IFERROR(AL70/AL$11,0)</f>
        <v>0</v>
      </c>
      <c r="AN70" s="5">
        <f>IFERROR(0,0)</f>
        <v>0</v>
      </c>
      <c r="AO70" s="4">
        <f t="shared" ref="AO70:AO71" si="230">IFERROR(AN70/AN$11,0)</f>
        <v>0</v>
      </c>
      <c r="AP70" s="5">
        <f>IFERROR(0,0)</f>
        <v>0</v>
      </c>
      <c r="AQ70" s="4">
        <f t="shared" ref="AQ70:AQ71" si="231">IFERROR(AP70/AP$11,0)</f>
        <v>0</v>
      </c>
      <c r="AR70" s="5">
        <f>IFERROR(0,0)</f>
        <v>0</v>
      </c>
      <c r="AS70" s="4">
        <f t="shared" ref="AS70:AS71" si="232">IFERROR(AR70/AR$11,0)</f>
        <v>0</v>
      </c>
      <c r="AT70" s="5">
        <f>IFERROR(0,0)</f>
        <v>0</v>
      </c>
      <c r="AU70" s="4">
        <f t="shared" ref="AU70:AU71" si="233">IFERROR(AT70/AT$11,0)</f>
        <v>0</v>
      </c>
      <c r="AV70" s="5">
        <f>IFERROR(0,0)</f>
        <v>0</v>
      </c>
      <c r="AW70" s="4">
        <f t="shared" ref="AW70:AW71" si="234">IFERROR(AV70/AV$11,0)</f>
        <v>0</v>
      </c>
      <c r="AX70" s="5">
        <f>IFERROR(0,0)</f>
        <v>0</v>
      </c>
      <c r="AY70" s="4">
        <f t="shared" ref="AY70:AY71" si="235">IFERROR(AX70/AX$11,0)</f>
        <v>0</v>
      </c>
      <c r="AZ70" s="5">
        <f>IFERROR(0,0)</f>
        <v>0</v>
      </c>
      <c r="BA70" s="4">
        <f t="shared" ref="BA70:BA71" si="236">IFERROR(AZ70/AZ$11,0)</f>
        <v>0</v>
      </c>
      <c r="BB70" s="5">
        <f>IFERROR(0,0)</f>
        <v>0</v>
      </c>
      <c r="BC70" s="4">
        <f t="shared" ref="BC70:BC71" si="237">IFERROR(BB70/BB$11,0)</f>
        <v>0</v>
      </c>
      <c r="BD70" s="5">
        <f>IFERROR(0,0)</f>
        <v>0</v>
      </c>
      <c r="BE70" s="4">
        <f t="shared" ref="BE70:BE71" si="238">IFERROR(BD70/BD$11,0)</f>
        <v>0</v>
      </c>
      <c r="BF70" s="5">
        <f>IFERROR(0,0)</f>
        <v>0</v>
      </c>
      <c r="BG70" s="4">
        <f t="shared" ref="BG70:BG71" si="239">IFERROR(BF70/BF$11,0)</f>
        <v>0</v>
      </c>
      <c r="BH70" s="5">
        <f>IFERROR(0,0)</f>
        <v>0</v>
      </c>
      <c r="BI70" s="4">
        <f t="shared" ref="BI70:BI71" si="240">IFERROR(BH70/BH$11,0)</f>
        <v>0</v>
      </c>
      <c r="BJ70" s="5">
        <f>IFERROR(0,0)</f>
        <v>0</v>
      </c>
      <c r="BK70" s="4">
        <f t="shared" ref="BK70:BK71" si="241">IFERROR(BJ70/BJ$11,0)</f>
        <v>0</v>
      </c>
      <c r="BL70" s="5">
        <f>IFERROR(0,0)</f>
        <v>0</v>
      </c>
      <c r="BM70" s="4">
        <f t="shared" ref="BM70:BM71" si="242">IFERROR(BL70/BL$11,0)</f>
        <v>0</v>
      </c>
      <c r="BN70" s="5">
        <f>IFERROR(0,0)</f>
        <v>0</v>
      </c>
      <c r="BO70" s="4">
        <f t="shared" ref="BO70:BO71" si="243">IFERROR(BN70/BN$11,0)</f>
        <v>0</v>
      </c>
      <c r="BP70" s="5">
        <f>IFERROR(0,0)</f>
        <v>0</v>
      </c>
      <c r="BQ70" s="4">
        <f t="shared" ref="BQ70:BQ71" si="244">IFERROR(BP70/BP$11,0)</f>
        <v>0</v>
      </c>
      <c r="BR70" s="5">
        <f>IFERROR(0,0)</f>
        <v>0</v>
      </c>
      <c r="BS70" s="4">
        <f t="shared" ref="BS70:BS71" si="245">IFERROR(BR70/BR$11,0)</f>
        <v>0</v>
      </c>
      <c r="BT70" s="5">
        <f>IFERROR(0,0)</f>
        <v>0</v>
      </c>
      <c r="BU70" s="4">
        <f t="shared" ref="BU70:BU71" si="246">IFERROR(BT70/BT$11,0)</f>
        <v>0</v>
      </c>
      <c r="BV70" s="5">
        <f>IFERROR(0,0)</f>
        <v>0</v>
      </c>
      <c r="BW70" s="4">
        <f t="shared" ref="BW70:BW71" si="247">IFERROR(BV70/BV$11,0)</f>
        <v>0</v>
      </c>
      <c r="BX70" s="5">
        <f>IFERROR(0,0)</f>
        <v>0</v>
      </c>
      <c r="BY70" s="4">
        <f t="shared" ref="BY70:BY71" si="248">IFERROR(BX70/BX$11,0)</f>
        <v>0</v>
      </c>
      <c r="BZ70" s="5">
        <f>IFERROR(0,0)</f>
        <v>0</v>
      </c>
      <c r="CA70" s="4">
        <f t="shared" ref="CA70:CA71" si="249">IFERROR(BZ70/BZ$11,0)</f>
        <v>0</v>
      </c>
      <c r="CB70" s="5">
        <f>IFERROR(0,0)</f>
        <v>0</v>
      </c>
      <c r="CC70" s="4">
        <f t="shared" ref="CC70:CC71" si="250">IFERROR(CB70/CB$11,0)</f>
        <v>0</v>
      </c>
      <c r="CD70" s="5">
        <f>IFERROR(0,0)</f>
        <v>0</v>
      </c>
      <c r="CE70" s="4">
        <f t="shared" ref="CE70:CE71" si="251">IFERROR(CD70/CD$11,0)</f>
        <v>0</v>
      </c>
      <c r="CF70" s="5">
        <f>IFERROR(0,0)</f>
        <v>0</v>
      </c>
      <c r="CG70" s="4">
        <f t="shared" ref="CG70:CG71" si="252">IFERROR(CF70/CF$11,0)</f>
        <v>0</v>
      </c>
      <c r="CH70" s="5">
        <f>IFERROR(0,0)</f>
        <v>0</v>
      </c>
      <c r="CI70" s="4">
        <f t="shared" ref="CI70:CI71" si="253">IFERROR(CH70/CH$11,0)</f>
        <v>0</v>
      </c>
      <c r="CJ70" s="5">
        <f>IFERROR(0,0)</f>
        <v>0</v>
      </c>
      <c r="CK70" s="4">
        <f t="shared" ref="CK70:CK71" si="254">IFERROR(CJ70/CJ$11,0)</f>
        <v>0</v>
      </c>
      <c r="CL70" s="5">
        <f>IFERROR(0,0)</f>
        <v>0</v>
      </c>
      <c r="CM70" s="4">
        <f t="shared" ref="CM70:CM71" si="255">IFERROR(CL70/CL$11,0)</f>
        <v>0</v>
      </c>
      <c r="CN70" s="5">
        <f>IFERROR(0,0)</f>
        <v>0</v>
      </c>
      <c r="CO70" s="4">
        <f t="shared" ref="CO70:CO71" si="256">IFERROR(CN70/CN$11,0)</f>
        <v>0</v>
      </c>
      <c r="CP70" s="5">
        <f>IFERROR(0,0)</f>
        <v>0</v>
      </c>
      <c r="CQ70" s="4">
        <f t="shared" ref="CQ70:CQ71" si="257">IFERROR(CP70/CP$11,0)</f>
        <v>0</v>
      </c>
      <c r="CR70" s="5">
        <f>IFERROR(0,0)</f>
        <v>0</v>
      </c>
      <c r="CS70" s="4">
        <f t="shared" ref="CS70:CS71" si="258">IFERROR(CR70/CR$11,0)</f>
        <v>0</v>
      </c>
      <c r="CT70" s="5">
        <f>IFERROR(0,0)</f>
        <v>0</v>
      </c>
      <c r="CU70" s="4">
        <f t="shared" ref="CU70:CU71" si="259">IFERROR(CT70/CT$11,0)</f>
        <v>0</v>
      </c>
      <c r="CV70" s="5">
        <f>IFERROR(0,0)</f>
        <v>0</v>
      </c>
      <c r="CW70" s="4">
        <f t="shared" ref="CW70:CW71" si="260">IFERROR(CV70/CV$11,0)</f>
        <v>0</v>
      </c>
      <c r="CX70" s="5">
        <f>IFERROR(0,0)</f>
        <v>0</v>
      </c>
      <c r="CY70" s="4">
        <f t="shared" ref="CY70:CY71" si="261">IFERROR(CX70/CX$11,0)</f>
        <v>0</v>
      </c>
      <c r="CZ70" s="5">
        <f>IFERROR(0,0)</f>
        <v>0</v>
      </c>
      <c r="DA70" s="4">
        <f t="shared" ref="DA70:DA71" si="262">IFERROR(CZ70/CZ$11,0)</f>
        <v>0</v>
      </c>
      <c r="DB70" s="5">
        <f>IFERROR(0,0)</f>
        <v>0</v>
      </c>
      <c r="DC70" s="4">
        <f t="shared" ref="DC70:DC71" si="263">IFERROR(DB70/DB$11,0)</f>
        <v>0</v>
      </c>
      <c r="DD70" s="5">
        <f>SUM(OSRRefD69_0x_0)</f>
        <v>0</v>
      </c>
      <c r="DE70" s="4">
        <f t="shared" ref="DE70:DE71" si="264">IFERROR(DD70/DD$11,0)</f>
        <v>0</v>
      </c>
      <c r="DF70" s="28"/>
    </row>
    <row r="71" spans="2:110" outlineLevel="1" x14ac:dyDescent="0.25">
      <c r="B71">
        <v>54102</v>
      </c>
      <c r="C71" t="s">
        <v>50</v>
      </c>
      <c r="D71" s="5">
        <f>IFERROR(750,0)</f>
        <v>750</v>
      </c>
      <c r="E71" s="4">
        <f t="shared" si="212"/>
        <v>1.9863866302937204E-2</v>
      </c>
      <c r="F71" s="5">
        <f>IFERROR(750,0)</f>
        <v>750</v>
      </c>
      <c r="G71" s="4">
        <f t="shared" si="213"/>
        <v>1.9816630115993342E-2</v>
      </c>
      <c r="H71" s="5">
        <f>IFERROR(750,0)</f>
        <v>750</v>
      </c>
      <c r="I71" s="4">
        <f t="shared" si="214"/>
        <v>2.2951923371178504E-2</v>
      </c>
      <c r="J71" s="5">
        <f>IFERROR(750,0)</f>
        <v>750</v>
      </c>
      <c r="K71" s="4">
        <f t="shared" si="215"/>
        <v>1.9637106276019167E-2</v>
      </c>
      <c r="L71" s="5">
        <f>IFERROR(750,0)</f>
        <v>750</v>
      </c>
      <c r="M71" s="4">
        <f t="shared" si="216"/>
        <v>1.853591023676536E-2</v>
      </c>
      <c r="N71" s="5">
        <f>IFERROR(750,0)</f>
        <v>750</v>
      </c>
      <c r="O71" s="4">
        <f t="shared" si="217"/>
        <v>1.8676228895861346E-2</v>
      </c>
      <c r="P71" s="5">
        <f>IFERROR(750,0)</f>
        <v>750</v>
      </c>
      <c r="Q71" s="4">
        <f t="shared" si="218"/>
        <v>1.3519603424966201E-2</v>
      </c>
      <c r="R71" s="5">
        <f>IFERROR(750,0)</f>
        <v>750</v>
      </c>
      <c r="S71" s="4">
        <f t="shared" si="219"/>
        <v>1.365001365001365E-2</v>
      </c>
      <c r="T71" s="5">
        <f>IFERROR(750,0)</f>
        <v>750</v>
      </c>
      <c r="U71" s="4">
        <f t="shared" si="220"/>
        <v>1.3874757191749144E-2</v>
      </c>
      <c r="V71" s="5">
        <f>IFERROR(750,0)</f>
        <v>750</v>
      </c>
      <c r="W71" s="4">
        <f t="shared" si="221"/>
        <v>1.3430029546065002E-2</v>
      </c>
      <c r="X71" s="5">
        <f>IFERROR(750,0)</f>
        <v>750</v>
      </c>
      <c r="Y71" s="4">
        <f t="shared" si="222"/>
        <v>1.412376181688072E-2</v>
      </c>
      <c r="Z71" s="5">
        <f>IFERROR(750,0)</f>
        <v>750</v>
      </c>
      <c r="AA71" s="4">
        <f t="shared" si="223"/>
        <v>1.483679525222552E-2</v>
      </c>
      <c r="AB71" s="5">
        <f>IFERROR(750,0)</f>
        <v>750</v>
      </c>
      <c r="AC71" s="4">
        <f t="shared" si="224"/>
        <v>1.4201317882299478E-2</v>
      </c>
      <c r="AD71" s="5">
        <f>IFERROR(750,0)</f>
        <v>750</v>
      </c>
      <c r="AE71" s="4">
        <f t="shared" si="225"/>
        <v>1.5616541040269855E-2</v>
      </c>
      <c r="AF71" s="5">
        <f>IFERROR(750,0)</f>
        <v>750</v>
      </c>
      <c r="AG71" s="4">
        <f t="shared" si="226"/>
        <v>1.5188950544777027E-2</v>
      </c>
      <c r="AH71" s="5">
        <f>IFERROR(750,0)</f>
        <v>750</v>
      </c>
      <c r="AI71" s="4">
        <f t="shared" si="227"/>
        <v>1.8659965665663174E-2</v>
      </c>
      <c r="AJ71" s="5">
        <f>IFERROR(750,0)</f>
        <v>750</v>
      </c>
      <c r="AK71" s="4">
        <f t="shared" si="228"/>
        <v>1.5579235994266841E-2</v>
      </c>
      <c r="AL71" s="5">
        <f>IFERROR(750,0)</f>
        <v>750</v>
      </c>
      <c r="AM71" s="4">
        <f t="shared" si="229"/>
        <v>1.6698951305857992E-2</v>
      </c>
      <c r="AN71" s="5">
        <f>IFERROR(750,0)</f>
        <v>750</v>
      </c>
      <c r="AO71" s="4">
        <f t="shared" si="230"/>
        <v>1.3704888076747372E-2</v>
      </c>
      <c r="AP71" s="5">
        <f>IFERROR(750,0)</f>
        <v>750</v>
      </c>
      <c r="AQ71" s="4">
        <f t="shared" si="231"/>
        <v>1.5236160487557136E-2</v>
      </c>
      <c r="AR71" s="5">
        <f>IFERROR(750,0)</f>
        <v>750</v>
      </c>
      <c r="AS71" s="4">
        <f t="shared" si="232"/>
        <v>1.4747232436046169E-2</v>
      </c>
      <c r="AT71" s="5">
        <f>IFERROR(750,0)</f>
        <v>750</v>
      </c>
      <c r="AU71" s="4">
        <f t="shared" si="233"/>
        <v>1.5567271368674499E-2</v>
      </c>
      <c r="AV71" s="5">
        <f>IFERROR(750,0)</f>
        <v>750</v>
      </c>
      <c r="AW71" s="4">
        <f t="shared" si="234"/>
        <v>1.8199024532285068E-2</v>
      </c>
      <c r="AX71" s="5">
        <f>IFERROR(750,0)</f>
        <v>750</v>
      </c>
      <c r="AY71" s="4">
        <f t="shared" si="235"/>
        <v>1.4573860324122653E-2</v>
      </c>
      <c r="AZ71" s="5">
        <f>IFERROR(750,0)</f>
        <v>750</v>
      </c>
      <c r="BA71" s="4">
        <f t="shared" si="236"/>
        <v>1.8031013342949875E-2</v>
      </c>
      <c r="BB71" s="5">
        <f>IFERROR(750,0)</f>
        <v>750</v>
      </c>
      <c r="BC71" s="4">
        <f t="shared" si="237"/>
        <v>1.7277523094289204E-2</v>
      </c>
      <c r="BD71" s="5">
        <f>IFERROR(750,0)</f>
        <v>750</v>
      </c>
      <c r="BE71" s="4">
        <f t="shared" si="238"/>
        <v>1.8793695341669383E-2</v>
      </c>
      <c r="BF71" s="5">
        <f>IFERROR(750,0)</f>
        <v>750</v>
      </c>
      <c r="BG71" s="4">
        <f t="shared" si="239"/>
        <v>1.9254961361710867E-2</v>
      </c>
      <c r="BH71" s="5">
        <f>IFERROR(750,0)</f>
        <v>750</v>
      </c>
      <c r="BI71" s="4">
        <f t="shared" si="240"/>
        <v>1.9887568943572336E-2</v>
      </c>
      <c r="BJ71" s="5">
        <f>IFERROR(750,0)</f>
        <v>750</v>
      </c>
      <c r="BK71" s="4">
        <f t="shared" si="241"/>
        <v>1.9387359441644048E-2</v>
      </c>
      <c r="BL71" s="5">
        <f>IFERROR(750,0)</f>
        <v>750</v>
      </c>
      <c r="BM71" s="4">
        <f t="shared" si="242"/>
        <v>1.7538526296097093E-2</v>
      </c>
      <c r="BN71" s="5">
        <f>IFERROR(750,0)</f>
        <v>750</v>
      </c>
      <c r="BO71" s="4">
        <f t="shared" si="243"/>
        <v>1.8717711946891612E-2</v>
      </c>
      <c r="BP71" s="5">
        <f>IFERROR(750,0)</f>
        <v>750</v>
      </c>
      <c r="BQ71" s="4">
        <f t="shared" si="244"/>
        <v>2.1154171602640041E-2</v>
      </c>
      <c r="BR71" s="5">
        <f>IFERROR(750,0)</f>
        <v>750</v>
      </c>
      <c r="BS71" s="4">
        <f t="shared" si="245"/>
        <v>2.2604659573826819E-2</v>
      </c>
      <c r="BT71" s="5">
        <f>IFERROR(750,0)</f>
        <v>750</v>
      </c>
      <c r="BU71" s="4">
        <f t="shared" si="246"/>
        <v>1.7578811672330951E-2</v>
      </c>
      <c r="BV71" s="5">
        <f>IFERROR(750,0)</f>
        <v>750</v>
      </c>
      <c r="BW71" s="4">
        <f t="shared" si="247"/>
        <v>2.1904205607476634E-2</v>
      </c>
      <c r="BX71" s="5">
        <f>IFERROR(750,0)</f>
        <v>750</v>
      </c>
      <c r="BY71" s="4">
        <f t="shared" si="248"/>
        <v>2.0119105102205055E-2</v>
      </c>
      <c r="BZ71" s="5">
        <f>IFERROR(750,0)</f>
        <v>750</v>
      </c>
      <c r="CA71" s="4">
        <f t="shared" si="249"/>
        <v>2.2840784504811792E-2</v>
      </c>
      <c r="CB71" s="5">
        <f>IFERROR(750,0)</f>
        <v>750</v>
      </c>
      <c r="CC71" s="4">
        <f t="shared" si="250"/>
        <v>2.0158039025963553E-2</v>
      </c>
      <c r="CD71" s="5">
        <f>IFERROR(750,0)</f>
        <v>750</v>
      </c>
      <c r="CE71" s="4">
        <f t="shared" si="251"/>
        <v>2.0080321285140562E-2</v>
      </c>
      <c r="CF71" s="5">
        <f>IFERROR(750,0)</f>
        <v>750</v>
      </c>
      <c r="CG71" s="4">
        <f t="shared" si="252"/>
        <v>1.9623233908948195E-2</v>
      </c>
      <c r="CH71" s="5">
        <f>IFERROR(750,0)</f>
        <v>750</v>
      </c>
      <c r="CI71" s="4">
        <f t="shared" si="253"/>
        <v>1.9156109521863505E-2</v>
      </c>
      <c r="CJ71" s="5">
        <f>IFERROR(750,0)</f>
        <v>750</v>
      </c>
      <c r="CK71" s="4">
        <f t="shared" si="254"/>
        <v>1.800720288115246E-2</v>
      </c>
      <c r="CL71" s="5">
        <f>IFERROR(750,0)</f>
        <v>750</v>
      </c>
      <c r="CM71" s="4">
        <f t="shared" si="255"/>
        <v>1.663745868364427E-2</v>
      </c>
      <c r="CN71" s="5">
        <f>IFERROR(750,0)</f>
        <v>750</v>
      </c>
      <c r="CO71" s="4">
        <f t="shared" si="256"/>
        <v>1.819019669666028E-2</v>
      </c>
      <c r="CP71" s="5">
        <f>IFERROR(750,0)</f>
        <v>750</v>
      </c>
      <c r="CQ71" s="4">
        <f t="shared" si="257"/>
        <v>1.8937959245511702E-2</v>
      </c>
      <c r="CR71" s="5">
        <f>IFERROR(750,0)</f>
        <v>750</v>
      </c>
      <c r="CS71" s="4">
        <f t="shared" si="258"/>
        <v>2.2783195115282966E-2</v>
      </c>
      <c r="CT71" s="5">
        <f>IFERROR(750,0)</f>
        <v>750</v>
      </c>
      <c r="CU71" s="4">
        <f t="shared" si="259"/>
        <v>1.9625801386889966E-2</v>
      </c>
      <c r="CV71" s="5">
        <f>IFERROR(750,0)</f>
        <v>750</v>
      </c>
      <c r="CW71" s="4">
        <f t="shared" si="260"/>
        <v>1.9226825266611978E-2</v>
      </c>
      <c r="CX71" s="5">
        <f>IFERROR(750,0)</f>
        <v>750</v>
      </c>
      <c r="CY71" s="4">
        <f t="shared" si="261"/>
        <v>1.6635244538094712E-2</v>
      </c>
      <c r="CZ71" s="5">
        <f>IFERROR(750,0)</f>
        <v>750</v>
      </c>
      <c r="DA71" s="4">
        <f t="shared" si="262"/>
        <v>1.6331685647714651E-2</v>
      </c>
      <c r="DB71" s="5">
        <f>IFERROR(750,0)</f>
        <v>750</v>
      </c>
      <c r="DC71" s="4">
        <f t="shared" si="263"/>
        <v>1.6053082191780824E-2</v>
      </c>
      <c r="DD71" s="5">
        <f>SUM(OSRRefD69_1x_0)</f>
        <v>39000</v>
      </c>
      <c r="DE71" s="4">
        <f t="shared" si="264"/>
        <v>1.7439590822482406E-2</v>
      </c>
      <c r="DF71" s="28"/>
    </row>
    <row r="72" spans="2:110" ht="7.5" customHeight="1" x14ac:dyDescent="0.25">
      <c r="D72" s="5"/>
      <c r="E72" s="2"/>
      <c r="F72" s="5"/>
      <c r="G72" s="2"/>
      <c r="H72" s="5"/>
      <c r="I72" s="2"/>
      <c r="J72" s="5"/>
      <c r="K72" s="2"/>
      <c r="L72" s="5"/>
      <c r="M72" s="2"/>
      <c r="N72" s="5"/>
      <c r="O72" s="2"/>
      <c r="P72" s="5"/>
      <c r="Q72" s="2"/>
      <c r="R72" s="5"/>
      <c r="S72" s="2"/>
      <c r="T72" s="5"/>
      <c r="U72" s="2"/>
      <c r="V72" s="5"/>
      <c r="W72" s="2"/>
      <c r="X72" s="5"/>
      <c r="Y72" s="2"/>
      <c r="Z72" s="5"/>
      <c r="AA72" s="2"/>
      <c r="AB72" s="5"/>
      <c r="AC72" s="2"/>
      <c r="AD72" s="5"/>
      <c r="AE72" s="2"/>
      <c r="AF72" s="5"/>
      <c r="AG72" s="2"/>
      <c r="AH72" s="5"/>
      <c r="AI72" s="2"/>
      <c r="AJ72" s="5"/>
      <c r="AK72" s="2"/>
      <c r="AL72" s="5"/>
      <c r="AM72" s="2"/>
      <c r="AN72" s="5"/>
      <c r="AO72" s="2"/>
      <c r="AP72" s="5"/>
      <c r="AQ72" s="2"/>
      <c r="AR72" s="5"/>
      <c r="AS72" s="2"/>
      <c r="AT72" s="5"/>
      <c r="AU72" s="2"/>
      <c r="AV72" s="5"/>
      <c r="AW72" s="2"/>
      <c r="AX72" s="5"/>
      <c r="AY72" s="2"/>
      <c r="AZ72" s="5"/>
      <c r="BA72" s="2"/>
      <c r="BB72" s="5"/>
      <c r="BC72" s="2"/>
      <c r="BD72" s="5"/>
      <c r="BE72" s="2"/>
      <c r="BF72" s="5"/>
      <c r="BG72" s="2"/>
      <c r="BH72" s="5"/>
      <c r="BI72" s="2"/>
      <c r="BJ72" s="5"/>
      <c r="BK72" s="2"/>
      <c r="BL72" s="5"/>
      <c r="BM72" s="2"/>
      <c r="BN72" s="5"/>
      <c r="BO72" s="2"/>
      <c r="BP72" s="5"/>
      <c r="BQ72" s="2"/>
      <c r="BR72" s="5"/>
      <c r="BS72" s="2"/>
      <c r="BT72" s="5"/>
      <c r="BU72" s="2"/>
      <c r="BV72" s="5"/>
      <c r="BW72" s="2"/>
      <c r="BX72" s="5"/>
      <c r="BY72" s="2"/>
      <c r="BZ72" s="5"/>
      <c r="CA72" s="2"/>
      <c r="CB72" s="5"/>
      <c r="CC72" s="2"/>
      <c r="CD72" s="5"/>
      <c r="CE72" s="2"/>
      <c r="CF72" s="5"/>
      <c r="CG72" s="2"/>
      <c r="CH72" s="5"/>
      <c r="CI72" s="2"/>
      <c r="CJ72" s="5"/>
      <c r="CK72" s="2"/>
      <c r="CL72" s="5"/>
      <c r="CM72" s="2"/>
      <c r="CN72" s="5"/>
      <c r="CO72" s="2"/>
      <c r="CP72" s="5"/>
      <c r="CQ72" s="2"/>
      <c r="CR72" s="5"/>
      <c r="CS72" s="2"/>
      <c r="CT72" s="5"/>
      <c r="CU72" s="2"/>
      <c r="CV72" s="5"/>
      <c r="CW72" s="2"/>
      <c r="CX72" s="5"/>
      <c r="CY72" s="2"/>
      <c r="CZ72" s="5"/>
      <c r="DA72" s="2"/>
      <c r="DB72" s="5"/>
      <c r="DC72" s="2"/>
      <c r="DD72" s="5"/>
      <c r="DE72" s="2"/>
      <c r="DF72" s="28"/>
    </row>
    <row r="73" spans="2:110" x14ac:dyDescent="0.25">
      <c r="B73" s="30"/>
      <c r="C73" s="31" t="s">
        <v>11</v>
      </c>
      <c r="D73" s="3">
        <f>SUM(D70:D72)</f>
        <v>750</v>
      </c>
      <c r="E73" s="1">
        <f>IFERROR(D73/D$11,0)</f>
        <v>1.9863866302937204E-2</v>
      </c>
      <c r="F73" s="3">
        <f>SUM(F70:F72)</f>
        <v>750</v>
      </c>
      <c r="G73" s="1">
        <f>IFERROR(F73/F$11,0)</f>
        <v>1.9816630115993342E-2</v>
      </c>
      <c r="H73" s="3">
        <f>SUM(H70:H72)</f>
        <v>750</v>
      </c>
      <c r="I73" s="1">
        <f>IFERROR(H73/H$11,0)</f>
        <v>2.2951923371178504E-2</v>
      </c>
      <c r="J73" s="3">
        <f>SUM(J70:J72)</f>
        <v>750</v>
      </c>
      <c r="K73" s="1">
        <f>IFERROR(J73/J$11,0)</f>
        <v>1.9637106276019167E-2</v>
      </c>
      <c r="L73" s="3">
        <f>SUM(L70:L72)</f>
        <v>750</v>
      </c>
      <c r="M73" s="1">
        <f>IFERROR(L73/L$11,0)</f>
        <v>1.853591023676536E-2</v>
      </c>
      <c r="N73" s="3">
        <f>SUM(N70:N72)</f>
        <v>750</v>
      </c>
      <c r="O73" s="1">
        <f>IFERROR(N73/N$11,0)</f>
        <v>1.8676228895861346E-2</v>
      </c>
      <c r="P73" s="3">
        <f>SUM(P70:P72)</f>
        <v>750</v>
      </c>
      <c r="Q73" s="1">
        <f>IFERROR(P73/P$11,0)</f>
        <v>1.3519603424966201E-2</v>
      </c>
      <c r="R73" s="3">
        <f>SUM(R70:R72)</f>
        <v>750</v>
      </c>
      <c r="S73" s="1">
        <f>IFERROR(R73/R$11,0)</f>
        <v>1.365001365001365E-2</v>
      </c>
      <c r="T73" s="3">
        <f>SUM(T70:T72)</f>
        <v>750</v>
      </c>
      <c r="U73" s="1">
        <f>IFERROR(T73/T$11,0)</f>
        <v>1.3874757191749144E-2</v>
      </c>
      <c r="V73" s="3">
        <f>SUM(V70:V72)</f>
        <v>750</v>
      </c>
      <c r="W73" s="1">
        <f>IFERROR(V73/V$11,0)</f>
        <v>1.3430029546065002E-2</v>
      </c>
      <c r="X73" s="3">
        <f>SUM(X70:X72)</f>
        <v>750</v>
      </c>
      <c r="Y73" s="1">
        <f>IFERROR(X73/X$11,0)</f>
        <v>1.412376181688072E-2</v>
      </c>
      <c r="Z73" s="3">
        <f>SUM(Z70:Z72)</f>
        <v>750</v>
      </c>
      <c r="AA73" s="1">
        <f>IFERROR(Z73/Z$11,0)</f>
        <v>1.483679525222552E-2</v>
      </c>
      <c r="AB73" s="3">
        <f>SUM(AB70:AB72)</f>
        <v>750</v>
      </c>
      <c r="AC73" s="1">
        <f>IFERROR(AB73/AB$11,0)</f>
        <v>1.4201317882299478E-2</v>
      </c>
      <c r="AD73" s="3">
        <f>SUM(AD70:AD72)</f>
        <v>750</v>
      </c>
      <c r="AE73" s="1">
        <f>IFERROR(AD73/AD$11,0)</f>
        <v>1.5616541040269855E-2</v>
      </c>
      <c r="AF73" s="3">
        <f>SUM(AF70:AF72)</f>
        <v>750</v>
      </c>
      <c r="AG73" s="1">
        <f>IFERROR(AF73/AF$11,0)</f>
        <v>1.5188950544777027E-2</v>
      </c>
      <c r="AH73" s="3">
        <f>SUM(AH70:AH72)</f>
        <v>750</v>
      </c>
      <c r="AI73" s="1">
        <f>IFERROR(AH73/AH$11,0)</f>
        <v>1.8659965665663174E-2</v>
      </c>
      <c r="AJ73" s="3">
        <f>SUM(AJ70:AJ72)</f>
        <v>750</v>
      </c>
      <c r="AK73" s="1">
        <f>IFERROR(AJ73/AJ$11,0)</f>
        <v>1.5579235994266841E-2</v>
      </c>
      <c r="AL73" s="3">
        <f>SUM(AL70:AL72)</f>
        <v>750</v>
      </c>
      <c r="AM73" s="1">
        <f>IFERROR(AL73/AL$11,0)</f>
        <v>1.6698951305857992E-2</v>
      </c>
      <c r="AN73" s="3">
        <f>SUM(AN70:AN72)</f>
        <v>750</v>
      </c>
      <c r="AO73" s="1">
        <f>IFERROR(AN73/AN$11,0)</f>
        <v>1.3704888076747372E-2</v>
      </c>
      <c r="AP73" s="3">
        <f>SUM(AP70:AP72)</f>
        <v>750</v>
      </c>
      <c r="AQ73" s="1">
        <f>IFERROR(AP73/AP$11,0)</f>
        <v>1.5236160487557136E-2</v>
      </c>
      <c r="AR73" s="3">
        <f>SUM(AR70:AR72)</f>
        <v>750</v>
      </c>
      <c r="AS73" s="1">
        <f>IFERROR(AR73/AR$11,0)</f>
        <v>1.4747232436046169E-2</v>
      </c>
      <c r="AT73" s="3">
        <f>SUM(AT70:AT72)</f>
        <v>750</v>
      </c>
      <c r="AU73" s="1">
        <f>IFERROR(AT73/AT$11,0)</f>
        <v>1.5567271368674499E-2</v>
      </c>
      <c r="AV73" s="3">
        <f>SUM(AV70:AV72)</f>
        <v>750</v>
      </c>
      <c r="AW73" s="1">
        <f>IFERROR(AV73/AV$11,0)</f>
        <v>1.8199024532285068E-2</v>
      </c>
      <c r="AX73" s="3">
        <f>SUM(AX70:AX72)</f>
        <v>750</v>
      </c>
      <c r="AY73" s="1">
        <f>IFERROR(AX73/AX$11,0)</f>
        <v>1.4573860324122653E-2</v>
      </c>
      <c r="AZ73" s="3">
        <f>SUM(AZ70:AZ72)</f>
        <v>750</v>
      </c>
      <c r="BA73" s="1">
        <f>IFERROR(AZ73/AZ$11,0)</f>
        <v>1.8031013342949875E-2</v>
      </c>
      <c r="BB73" s="3">
        <f>SUM(BB70:BB72)</f>
        <v>750</v>
      </c>
      <c r="BC73" s="1">
        <f>IFERROR(BB73/BB$11,0)</f>
        <v>1.7277523094289204E-2</v>
      </c>
      <c r="BD73" s="3">
        <f>SUM(BD70:BD72)</f>
        <v>750</v>
      </c>
      <c r="BE73" s="1">
        <f>IFERROR(BD73/BD$11,0)</f>
        <v>1.8793695341669383E-2</v>
      </c>
      <c r="BF73" s="3">
        <f>SUM(BF70:BF72)</f>
        <v>750</v>
      </c>
      <c r="BG73" s="1">
        <f>IFERROR(BF73/BF$11,0)</f>
        <v>1.9254961361710867E-2</v>
      </c>
      <c r="BH73" s="3">
        <f>SUM(BH70:BH72)</f>
        <v>750</v>
      </c>
      <c r="BI73" s="1">
        <f>IFERROR(BH73/BH$11,0)</f>
        <v>1.9887568943572336E-2</v>
      </c>
      <c r="BJ73" s="3">
        <f>SUM(BJ70:BJ72)</f>
        <v>750</v>
      </c>
      <c r="BK73" s="1">
        <f>IFERROR(BJ73/BJ$11,0)</f>
        <v>1.9387359441644048E-2</v>
      </c>
      <c r="BL73" s="3">
        <f>SUM(BL70:BL72)</f>
        <v>750</v>
      </c>
      <c r="BM73" s="1">
        <f>IFERROR(BL73/BL$11,0)</f>
        <v>1.7538526296097093E-2</v>
      </c>
      <c r="BN73" s="3">
        <f>SUM(BN70:BN72)</f>
        <v>750</v>
      </c>
      <c r="BO73" s="1">
        <f>IFERROR(BN73/BN$11,0)</f>
        <v>1.8717711946891612E-2</v>
      </c>
      <c r="BP73" s="3">
        <f>SUM(BP70:BP72)</f>
        <v>750</v>
      </c>
      <c r="BQ73" s="1">
        <f>IFERROR(BP73/BP$11,0)</f>
        <v>2.1154171602640041E-2</v>
      </c>
      <c r="BR73" s="3">
        <f>SUM(BR70:BR72)</f>
        <v>750</v>
      </c>
      <c r="BS73" s="1">
        <f>IFERROR(BR73/BR$11,0)</f>
        <v>2.2604659573826819E-2</v>
      </c>
      <c r="BT73" s="3">
        <f>SUM(BT70:BT72)</f>
        <v>750</v>
      </c>
      <c r="BU73" s="1">
        <f>IFERROR(BT73/BT$11,0)</f>
        <v>1.7578811672330951E-2</v>
      </c>
      <c r="BV73" s="3">
        <f>SUM(BV70:BV72)</f>
        <v>750</v>
      </c>
      <c r="BW73" s="1">
        <f>IFERROR(BV73/BV$11,0)</f>
        <v>2.1904205607476634E-2</v>
      </c>
      <c r="BX73" s="3">
        <f>SUM(BX70:BX72)</f>
        <v>750</v>
      </c>
      <c r="BY73" s="1">
        <f>IFERROR(BX73/BX$11,0)</f>
        <v>2.0119105102205055E-2</v>
      </c>
      <c r="BZ73" s="3">
        <f>SUM(BZ70:BZ72)</f>
        <v>750</v>
      </c>
      <c r="CA73" s="1">
        <f>IFERROR(BZ73/BZ$11,0)</f>
        <v>2.2840784504811792E-2</v>
      </c>
      <c r="CB73" s="3">
        <f>SUM(CB70:CB72)</f>
        <v>750</v>
      </c>
      <c r="CC73" s="1">
        <f>IFERROR(CB73/CB$11,0)</f>
        <v>2.0158039025963553E-2</v>
      </c>
      <c r="CD73" s="3">
        <f>SUM(CD70:CD72)</f>
        <v>750</v>
      </c>
      <c r="CE73" s="1">
        <f>IFERROR(CD73/CD$11,0)</f>
        <v>2.0080321285140562E-2</v>
      </c>
      <c r="CF73" s="3">
        <f>SUM(CF70:CF72)</f>
        <v>750</v>
      </c>
      <c r="CG73" s="1">
        <f>IFERROR(CF73/CF$11,0)</f>
        <v>1.9623233908948195E-2</v>
      </c>
      <c r="CH73" s="3">
        <f>SUM(CH70:CH72)</f>
        <v>750</v>
      </c>
      <c r="CI73" s="1">
        <f>IFERROR(CH73/CH$11,0)</f>
        <v>1.9156109521863505E-2</v>
      </c>
      <c r="CJ73" s="3">
        <f>SUM(CJ70:CJ72)</f>
        <v>750</v>
      </c>
      <c r="CK73" s="1">
        <f>IFERROR(CJ73/CJ$11,0)</f>
        <v>1.800720288115246E-2</v>
      </c>
      <c r="CL73" s="3">
        <f>SUM(CL70:CL72)</f>
        <v>750</v>
      </c>
      <c r="CM73" s="1">
        <f>IFERROR(CL73/CL$11,0)</f>
        <v>1.663745868364427E-2</v>
      </c>
      <c r="CN73" s="3">
        <f>SUM(CN70:CN72)</f>
        <v>750</v>
      </c>
      <c r="CO73" s="1">
        <f>IFERROR(CN73/CN$11,0)</f>
        <v>1.819019669666028E-2</v>
      </c>
      <c r="CP73" s="3">
        <f>SUM(CP70:CP72)</f>
        <v>750</v>
      </c>
      <c r="CQ73" s="1">
        <f>IFERROR(CP73/CP$11,0)</f>
        <v>1.8937959245511702E-2</v>
      </c>
      <c r="CR73" s="3">
        <f>SUM(CR70:CR72)</f>
        <v>750</v>
      </c>
      <c r="CS73" s="1">
        <f>IFERROR(CR73/CR$11,0)</f>
        <v>2.2783195115282966E-2</v>
      </c>
      <c r="CT73" s="3">
        <f>SUM(CT70:CT72)</f>
        <v>750</v>
      </c>
      <c r="CU73" s="1">
        <f>IFERROR(CT73/CT$11,0)</f>
        <v>1.9625801386889966E-2</v>
      </c>
      <c r="CV73" s="3">
        <f>SUM(CV70:CV72)</f>
        <v>750</v>
      </c>
      <c r="CW73" s="1">
        <f>IFERROR(CV73/CV$11,0)</f>
        <v>1.9226825266611978E-2</v>
      </c>
      <c r="CX73" s="3">
        <f>SUM(CX70:CX72)</f>
        <v>750</v>
      </c>
      <c r="CY73" s="1">
        <f>IFERROR(CX73/CX$11,0)</f>
        <v>1.6635244538094712E-2</v>
      </c>
      <c r="CZ73" s="3">
        <f>SUM(CZ70:CZ72)</f>
        <v>750</v>
      </c>
      <c r="DA73" s="1">
        <f>IFERROR(CZ73/CZ$11,0)</f>
        <v>1.6331685647714651E-2</v>
      </c>
      <c r="DB73" s="3">
        <f>SUM(DB70:DB72)</f>
        <v>750</v>
      </c>
      <c r="DC73" s="1">
        <f>IFERROR(DB73/DB$11,0)</f>
        <v>1.6053082191780824E-2</v>
      </c>
      <c r="DD73" s="3">
        <f>SUM(OSRRefD71x_0)</f>
        <v>39000</v>
      </c>
      <c r="DE73" s="1">
        <f>IFERROR(DD73/DD$11,0)</f>
        <v>1.7439590822482406E-2</v>
      </c>
      <c r="DF73" s="28"/>
    </row>
    <row r="74" spans="2:110" s="29" customFormat="1" outlineLevel="1" x14ac:dyDescent="0.25">
      <c r="D74" s="5"/>
      <c r="E74" s="2"/>
      <c r="F74" s="5"/>
      <c r="G74" s="2"/>
      <c r="H74" s="5"/>
      <c r="I74" s="2"/>
      <c r="J74" s="5"/>
      <c r="K74" s="2"/>
      <c r="L74" s="5"/>
      <c r="M74" s="2"/>
      <c r="N74" s="5"/>
      <c r="O74" s="2"/>
      <c r="P74" s="5"/>
      <c r="Q74" s="2"/>
      <c r="R74" s="5"/>
      <c r="S74" s="2"/>
      <c r="T74" s="5"/>
      <c r="U74" s="2"/>
      <c r="V74" s="5"/>
      <c r="W74" s="2"/>
      <c r="X74" s="5"/>
      <c r="Y74" s="2"/>
      <c r="Z74" s="5"/>
      <c r="AA74" s="2"/>
      <c r="AB74" s="5"/>
      <c r="AC74" s="2"/>
      <c r="AD74" s="5"/>
      <c r="AE74" s="2"/>
      <c r="AF74" s="5"/>
      <c r="AG74" s="2"/>
      <c r="AH74" s="5"/>
      <c r="AI74" s="2"/>
      <c r="AJ74" s="5"/>
      <c r="AK74" s="2"/>
      <c r="AL74" s="5"/>
      <c r="AM74" s="2"/>
      <c r="AN74" s="5"/>
      <c r="AO74" s="2"/>
      <c r="AP74" s="5"/>
      <c r="AQ74" s="2"/>
      <c r="AR74" s="5"/>
      <c r="AS74" s="2"/>
      <c r="AT74" s="5"/>
      <c r="AU74" s="2"/>
      <c r="AV74" s="5"/>
      <c r="AW74" s="2"/>
      <c r="AX74" s="5"/>
      <c r="AY74" s="2"/>
      <c r="AZ74" s="5"/>
      <c r="BA74" s="2"/>
      <c r="BB74" s="5"/>
      <c r="BC74" s="2"/>
      <c r="BD74" s="5"/>
      <c r="BE74" s="2"/>
      <c r="BF74" s="5"/>
      <c r="BG74" s="2"/>
      <c r="BH74" s="5"/>
      <c r="BI74" s="2"/>
      <c r="BJ74" s="5"/>
      <c r="BK74" s="2"/>
      <c r="BL74" s="5"/>
      <c r="BM74" s="2"/>
      <c r="BN74" s="5"/>
      <c r="BO74" s="2"/>
      <c r="BP74" s="5"/>
      <c r="BQ74" s="2"/>
      <c r="BR74" s="5"/>
      <c r="BS74" s="2"/>
      <c r="BT74" s="5"/>
      <c r="BU74" s="2"/>
      <c r="BV74" s="5"/>
      <c r="BW74" s="2"/>
      <c r="BX74" s="5"/>
      <c r="BY74" s="2"/>
      <c r="BZ74" s="5"/>
      <c r="CA74" s="2"/>
      <c r="CB74" s="5"/>
      <c r="CC74" s="2"/>
      <c r="CD74" s="5"/>
      <c r="CE74" s="2"/>
      <c r="CF74" s="5"/>
      <c r="CG74" s="2"/>
      <c r="CH74" s="5"/>
      <c r="CI74" s="2"/>
      <c r="CJ74" s="5"/>
      <c r="CK74" s="2"/>
      <c r="CL74" s="5"/>
      <c r="CM74" s="2"/>
      <c r="CN74" s="5"/>
      <c r="CO74" s="2"/>
      <c r="CP74" s="5"/>
      <c r="CQ74" s="2"/>
      <c r="CR74" s="5"/>
      <c r="CS74" s="2"/>
      <c r="CT74" s="5"/>
      <c r="CU74" s="2"/>
      <c r="CV74" s="5"/>
      <c r="CW74" s="2"/>
      <c r="CX74" s="5"/>
      <c r="CY74" s="2"/>
      <c r="CZ74" s="5"/>
      <c r="DA74" s="2"/>
      <c r="DB74" s="5"/>
      <c r="DC74" s="2"/>
      <c r="DD74" s="5"/>
      <c r="DE74" s="2"/>
      <c r="DF74" s="33"/>
    </row>
    <row r="75" spans="2:110" outlineLevel="1" x14ac:dyDescent="0.25">
      <c r="B75">
        <v>51521</v>
      </c>
      <c r="C75" t="s">
        <v>51</v>
      </c>
      <c r="D75" s="5">
        <f>IFERROR(378,0)</f>
        <v>378</v>
      </c>
      <c r="E75" s="4">
        <f>IFERROR(D75/D$11,0)</f>
        <v>1.001138861668035E-2</v>
      </c>
      <c r="F75" s="5">
        <f>IFERROR(378,0)</f>
        <v>378</v>
      </c>
      <c r="G75" s="4">
        <f>IFERROR(F75/F$11,0)</f>
        <v>9.9875815784606446E-3</v>
      </c>
      <c r="H75" s="5">
        <f>IFERROR(327,0)</f>
        <v>327</v>
      </c>
      <c r="I75" s="4">
        <f>IFERROR(H75/H$11,0)</f>
        <v>1.0007038589833829E-2</v>
      </c>
      <c r="J75" s="5">
        <f>IFERROR(382,0)</f>
        <v>382</v>
      </c>
      <c r="K75" s="4">
        <f>IFERROR(J75/J$11,0)</f>
        <v>1.0001832796585761E-2</v>
      </c>
      <c r="L75" s="5">
        <f>IFERROR(405,0)</f>
        <v>405</v>
      </c>
      <c r="M75" s="4">
        <f>IFERROR(L75/L$11,0)</f>
        <v>1.0009391527853295E-2</v>
      </c>
      <c r="N75" s="5">
        <f>IFERROR(402,0)</f>
        <v>402</v>
      </c>
      <c r="O75" s="4">
        <f>IFERROR(N75/N$11,0)</f>
        <v>1.0010458688181682E-2</v>
      </c>
      <c r="P75" s="5">
        <f>IFERROR(555,0)</f>
        <v>555</v>
      </c>
      <c r="Q75" s="4">
        <f>IFERROR(P75/P$11,0)</f>
        <v>1.0004506534474988E-2</v>
      </c>
      <c r="R75" s="5">
        <f>IFERROR(549,0)</f>
        <v>549</v>
      </c>
      <c r="S75" s="4">
        <f>IFERROR(R75/R$11,0)</f>
        <v>9.9918099918099926E-3</v>
      </c>
      <c r="T75" s="5">
        <f>IFERROR(541,0)</f>
        <v>541</v>
      </c>
      <c r="U75" s="4">
        <f>IFERROR(T75/T$11,0)</f>
        <v>1.000832485431505E-2</v>
      </c>
      <c r="V75" s="5">
        <f>IFERROR(558,0)</f>
        <v>558</v>
      </c>
      <c r="W75" s="4">
        <f>IFERROR(V75/V$11,0)</f>
        <v>9.9919419822723614E-3</v>
      </c>
      <c r="X75" s="5">
        <f>IFERROR(531,0)</f>
        <v>531</v>
      </c>
      <c r="Y75" s="4">
        <f>IFERROR(X75/X$11,0)</f>
        <v>9.9996233663515507E-3</v>
      </c>
      <c r="Z75" s="5">
        <f>IFERROR(506,0)</f>
        <v>506</v>
      </c>
      <c r="AA75" s="4">
        <f>IFERROR(Z75/Z$11,0)</f>
        <v>1.0009891196834817E-2</v>
      </c>
      <c r="AB75" s="5">
        <f>IFERROR(528,0)</f>
        <v>528</v>
      </c>
      <c r="AC75" s="4">
        <f>IFERROR(AB75/AB$11,0)</f>
        <v>9.9977277891388321E-3</v>
      </c>
      <c r="AD75" s="5">
        <f>IFERROR(480,0)</f>
        <v>480</v>
      </c>
      <c r="AE75" s="4">
        <f>IFERROR(AD75/AD$11,0)</f>
        <v>9.9945862657727057E-3</v>
      </c>
      <c r="AF75" s="5">
        <f>IFERROR(494,0)</f>
        <v>494</v>
      </c>
      <c r="AG75" s="4">
        <f>IFERROR(AF75/AF$11,0)</f>
        <v>1.0004455425493134E-2</v>
      </c>
      <c r="AH75" s="5">
        <f>IFERROR(402,0)</f>
        <v>402</v>
      </c>
      <c r="AI75" s="4">
        <f>IFERROR(AH75/AH$11,0)</f>
        <v>1.0001741596795462E-2</v>
      </c>
      <c r="AJ75" s="5">
        <f>IFERROR(481,0)</f>
        <v>481</v>
      </c>
      <c r="AK75" s="4">
        <f>IFERROR(AJ75/AJ$11,0)</f>
        <v>9.9914833509898004E-3</v>
      </c>
      <c r="AL75" s="5">
        <f>IFERROR(449,0)</f>
        <v>449</v>
      </c>
      <c r="AM75" s="4">
        <f>IFERROR(AL75/AL$11,0)</f>
        <v>9.997105515106984E-3</v>
      </c>
      <c r="AN75" s="5">
        <f>IFERROR(547,0)</f>
        <v>547</v>
      </c>
      <c r="AO75" s="4">
        <f>IFERROR(AN75/AN$11,0)</f>
        <v>9.9954317039744178E-3</v>
      </c>
      <c r="AP75" s="5">
        <f>IFERROR(492,0)</f>
        <v>492</v>
      </c>
      <c r="AQ75" s="4">
        <f>IFERROR(AP75/AP$11,0)</f>
        <v>9.9949212798374817E-3</v>
      </c>
      <c r="AR75" s="5">
        <f>IFERROR(509,0)</f>
        <v>509</v>
      </c>
      <c r="AS75" s="4">
        <f>IFERROR(AR75/AR$11,0)</f>
        <v>1.000845507993E-2</v>
      </c>
      <c r="AT75" s="5">
        <f>IFERROR(482,0)</f>
        <v>482</v>
      </c>
      <c r="AU75" s="4">
        <f>IFERROR(AT75/AT$11,0)</f>
        <v>1.0004566399601478E-2</v>
      </c>
      <c r="AV75" s="5">
        <f>IFERROR(412,0)</f>
        <v>412</v>
      </c>
      <c r="AW75" s="4">
        <f>IFERROR(AV75/AV$11,0)</f>
        <v>9.9973308097352654E-3</v>
      </c>
      <c r="AX75" s="5">
        <f>IFERROR(515,0)</f>
        <v>515</v>
      </c>
      <c r="AY75" s="4">
        <f>IFERROR(AX75/AX$11,0)</f>
        <v>1.0007384089230889E-2</v>
      </c>
      <c r="AZ75" s="5">
        <f>IFERROR(416,0)</f>
        <v>416</v>
      </c>
      <c r="BA75" s="4">
        <f>IFERROR(AZ75/AZ$11,0)</f>
        <v>1.0001202067556197E-2</v>
      </c>
      <c r="BB75" s="5">
        <f>IFERROR(434,0)</f>
        <v>434</v>
      </c>
      <c r="BC75" s="4">
        <f>IFERROR(BB75/BB$11,0)</f>
        <v>9.9979266972286852E-3</v>
      </c>
      <c r="BD75" s="5">
        <f>IFERROR(399,0)</f>
        <v>399</v>
      </c>
      <c r="BE75" s="4">
        <f>IFERROR(BD75/BD$11,0)</f>
        <v>9.9982459217681108E-3</v>
      </c>
      <c r="BF75" s="5">
        <f>IFERROR(390,0)</f>
        <v>390</v>
      </c>
      <c r="BG75" s="4">
        <f>IFERROR(BF75/BF$11,0)</f>
        <v>1.0012579908089651E-2</v>
      </c>
      <c r="BH75" s="5">
        <f>IFERROR(377,0)</f>
        <v>377</v>
      </c>
      <c r="BI75" s="4">
        <f>IFERROR(BH75/BH$11,0)</f>
        <v>9.9968179889690281E-3</v>
      </c>
      <c r="BJ75" s="5">
        <f>IFERROR(387,0)</f>
        <v>387</v>
      </c>
      <c r="BK75" s="4">
        <f>IFERROR(BJ75/BJ$11,0)</f>
        <v>1.0003877471888328E-2</v>
      </c>
      <c r="BL75" s="5">
        <f>IFERROR(428,0)</f>
        <v>428</v>
      </c>
      <c r="BM75" s="4">
        <f>IFERROR(BL75/BL$11,0)</f>
        <v>1.0008652339639408E-2</v>
      </c>
      <c r="BN75" s="5">
        <f>IFERROR(401,0)</f>
        <v>401</v>
      </c>
      <c r="BO75" s="4">
        <f>IFERROR(BN75/BN$11,0)</f>
        <v>1.0007736654271382E-2</v>
      </c>
      <c r="BP75" s="5">
        <f>IFERROR(355,0)</f>
        <v>355</v>
      </c>
      <c r="BQ75" s="4">
        <f>IFERROR(BP75/BP$11,0)</f>
        <v>1.0012974558582953E-2</v>
      </c>
      <c r="BR75" s="5">
        <f>IFERROR(332,0)</f>
        <v>332</v>
      </c>
      <c r="BS75" s="4">
        <f>IFERROR(BR75/BR$11,0)</f>
        <v>1.0006329304680671E-2</v>
      </c>
      <c r="BT75" s="5">
        <f>IFERROR(427,0)</f>
        <v>427</v>
      </c>
      <c r="BU75" s="4">
        <f>IFERROR(BT75/BT$11,0)</f>
        <v>1.0008203445447087E-2</v>
      </c>
      <c r="BV75" s="5">
        <f>IFERROR(342,0)</f>
        <v>342</v>
      </c>
      <c r="BW75" s="4">
        <f>IFERROR(BV75/BV$11,0)</f>
        <v>9.9883177570093459E-3</v>
      </c>
      <c r="BX75" s="5">
        <f>IFERROR(373,0)</f>
        <v>373</v>
      </c>
      <c r="BY75" s="4">
        <f>IFERROR(BX75/BX$11,0)</f>
        <v>1.0005901604163314E-2</v>
      </c>
      <c r="BZ75" s="5">
        <f>IFERROR(328,0)</f>
        <v>328</v>
      </c>
      <c r="CA75" s="4">
        <f>IFERROR(BZ75/BZ$11,0)</f>
        <v>9.9890364234376909E-3</v>
      </c>
      <c r="CB75" s="5">
        <f>IFERROR(372,0)</f>
        <v>372</v>
      </c>
      <c r="CC75" s="4">
        <f>IFERROR(CB75/CB$11,0)</f>
        <v>9.9983873568779223E-3</v>
      </c>
      <c r="CD75" s="5">
        <f>IFERROR(374,0)</f>
        <v>374</v>
      </c>
      <c r="CE75" s="4">
        <f>IFERROR(CD75/CD$11,0)</f>
        <v>1.001338688085676E-2</v>
      </c>
      <c r="CF75" s="5">
        <f>IFERROR(382,0)</f>
        <v>382</v>
      </c>
      <c r="CG75" s="4">
        <f>IFERROR(CF75/CF$11,0)</f>
        <v>9.9947671376242799E-3</v>
      </c>
      <c r="CH75" s="5">
        <f>IFERROR(392,0)</f>
        <v>392</v>
      </c>
      <c r="CI75" s="4">
        <f>IFERROR(CH75/CH$11,0)</f>
        <v>1.0012259910093992E-2</v>
      </c>
      <c r="CJ75" s="5">
        <f>IFERROR(417,0)</f>
        <v>417</v>
      </c>
      <c r="CK75" s="4">
        <f>IFERROR(CJ75/CJ$11,0)</f>
        <v>1.0012004801920769E-2</v>
      </c>
      <c r="CL75" s="5">
        <f>IFERROR(451,0)</f>
        <v>451</v>
      </c>
      <c r="CM75" s="4">
        <f>IFERROR(CL75/CL$11,0)</f>
        <v>1.000465848843142E-2</v>
      </c>
      <c r="CN75" s="5">
        <f>IFERROR(412,0)</f>
        <v>412</v>
      </c>
      <c r="CO75" s="4">
        <f>IFERROR(CN75/CN$11,0)</f>
        <v>9.9924813853653812E-3</v>
      </c>
      <c r="CP75" s="5">
        <f>IFERROR(396,0)</f>
        <v>396</v>
      </c>
      <c r="CQ75" s="4">
        <f>IFERROR(CP75/CP$11,0)</f>
        <v>9.9992424816301804E-3</v>
      </c>
      <c r="CR75" s="5">
        <f>IFERROR(329,0)</f>
        <v>329</v>
      </c>
      <c r="CS75" s="4">
        <f>IFERROR(CR75/CR$11,0)</f>
        <v>9.9942282572374613E-3</v>
      </c>
      <c r="CT75" s="5">
        <f>IFERROR(382,0)</f>
        <v>382</v>
      </c>
      <c r="CU75" s="4">
        <f>IFERROR(CT75/CT$11,0)</f>
        <v>9.9960748397226219E-3</v>
      </c>
      <c r="CV75" s="5">
        <f>IFERROR(390,0)</f>
        <v>390</v>
      </c>
      <c r="CW75" s="4">
        <f>IFERROR(CV75/CV$11,0)</f>
        <v>9.9979491386382284E-3</v>
      </c>
      <c r="CX75" s="5">
        <f>IFERROR(451,0)</f>
        <v>451</v>
      </c>
      <c r="CY75" s="4">
        <f>IFERROR(CX75/CX$11,0)</f>
        <v>1.0003327048907619E-2</v>
      </c>
      <c r="CZ75" s="5">
        <f>IFERROR(459,0)</f>
        <v>459</v>
      </c>
      <c r="DA75" s="4">
        <f>IFERROR(CZ75/CZ$11,0)</f>
        <v>9.9949916164013674E-3</v>
      </c>
      <c r="DB75" s="5">
        <f>IFERROR(467,0)</f>
        <v>467</v>
      </c>
      <c r="DC75" s="4">
        <f>IFERROR(DB75/DB$11,0)</f>
        <v>9.9957191780821915E-3</v>
      </c>
      <c r="DD75" s="5"/>
      <c r="DE75" s="4">
        <f>IFERROR(DD75/DD$11,0)</f>
        <v>0</v>
      </c>
      <c r="DF75" s="28"/>
    </row>
    <row r="76" spans="2:110" ht="7.5" customHeight="1" x14ac:dyDescent="0.25">
      <c r="D76" s="5"/>
      <c r="E76" s="2"/>
      <c r="F76" s="5"/>
      <c r="G76" s="2"/>
      <c r="H76" s="5"/>
      <c r="I76" s="2"/>
      <c r="J76" s="5"/>
      <c r="K76" s="2"/>
      <c r="L76" s="5"/>
      <c r="M76" s="2"/>
      <c r="N76" s="5"/>
      <c r="O76" s="2"/>
      <c r="P76" s="5"/>
      <c r="Q76" s="2"/>
      <c r="R76" s="5"/>
      <c r="S76" s="2"/>
      <c r="T76" s="5"/>
      <c r="U76" s="2"/>
      <c r="V76" s="5"/>
      <c r="W76" s="2"/>
      <c r="X76" s="5"/>
      <c r="Y76" s="2"/>
      <c r="Z76" s="5"/>
      <c r="AA76" s="2"/>
      <c r="AB76" s="5"/>
      <c r="AC76" s="2"/>
      <c r="AD76" s="5"/>
      <c r="AE76" s="2"/>
      <c r="AF76" s="5"/>
      <c r="AG76" s="2"/>
      <c r="AH76" s="5"/>
      <c r="AI76" s="2"/>
      <c r="AJ76" s="5"/>
      <c r="AK76" s="2"/>
      <c r="AL76" s="5"/>
      <c r="AM76" s="2"/>
      <c r="AN76" s="5"/>
      <c r="AO76" s="2"/>
      <c r="AP76" s="5"/>
      <c r="AQ76" s="2"/>
      <c r="AR76" s="5"/>
      <c r="AS76" s="2"/>
      <c r="AT76" s="5"/>
      <c r="AU76" s="2"/>
      <c r="AV76" s="5"/>
      <c r="AW76" s="2"/>
      <c r="AX76" s="5"/>
      <c r="AY76" s="2"/>
      <c r="AZ76" s="5"/>
      <c r="BA76" s="2"/>
      <c r="BB76" s="5"/>
      <c r="BC76" s="2"/>
      <c r="BD76" s="5"/>
      <c r="BE76" s="2"/>
      <c r="BF76" s="5"/>
      <c r="BG76" s="2"/>
      <c r="BH76" s="5"/>
      <c r="BI76" s="2"/>
      <c r="BJ76" s="5"/>
      <c r="BK76" s="2"/>
      <c r="BL76" s="5"/>
      <c r="BM76" s="2"/>
      <c r="BN76" s="5"/>
      <c r="BO76" s="2"/>
      <c r="BP76" s="5"/>
      <c r="BQ76" s="2"/>
      <c r="BR76" s="5"/>
      <c r="BS76" s="2"/>
      <c r="BT76" s="5"/>
      <c r="BU76" s="2"/>
      <c r="BV76" s="5"/>
      <c r="BW76" s="2"/>
      <c r="BX76" s="5"/>
      <c r="BY76" s="2"/>
      <c r="BZ76" s="5"/>
      <c r="CA76" s="2"/>
      <c r="CB76" s="5"/>
      <c r="CC76" s="2"/>
      <c r="CD76" s="5"/>
      <c r="CE76" s="2"/>
      <c r="CF76" s="5"/>
      <c r="CG76" s="2"/>
      <c r="CH76" s="5"/>
      <c r="CI76" s="2"/>
      <c r="CJ76" s="5"/>
      <c r="CK76" s="2"/>
      <c r="CL76" s="5"/>
      <c r="CM76" s="2"/>
      <c r="CN76" s="5"/>
      <c r="CO76" s="2"/>
      <c r="CP76" s="5"/>
      <c r="CQ76" s="2"/>
      <c r="CR76" s="5"/>
      <c r="CS76" s="2"/>
      <c r="CT76" s="5"/>
      <c r="CU76" s="2"/>
      <c r="CV76" s="5"/>
      <c r="CW76" s="2"/>
      <c r="CX76" s="5"/>
      <c r="CY76" s="2"/>
      <c r="CZ76" s="5"/>
      <c r="DA76" s="2"/>
      <c r="DB76" s="5"/>
      <c r="DC76" s="2"/>
      <c r="DD76" s="5"/>
      <c r="DE76" s="2"/>
      <c r="DF76" s="28"/>
    </row>
    <row r="77" spans="2:110" x14ac:dyDescent="0.25">
      <c r="B77" s="30"/>
      <c r="C77" s="31" t="s">
        <v>12</v>
      </c>
      <c r="D77" s="3">
        <f>SUM(D75:D76)</f>
        <v>378</v>
      </c>
      <c r="E77" s="1">
        <f>IFERROR(D77/D$11,0)</f>
        <v>1.001138861668035E-2</v>
      </c>
      <c r="F77" s="3">
        <f>SUM(F75:F76)</f>
        <v>378</v>
      </c>
      <c r="G77" s="1">
        <f>IFERROR(F77/F$11,0)</f>
        <v>9.9875815784606446E-3</v>
      </c>
      <c r="H77" s="3">
        <f>SUM(H75:H76)</f>
        <v>327</v>
      </c>
      <c r="I77" s="1">
        <f>IFERROR(H77/H$11,0)</f>
        <v>1.0007038589833829E-2</v>
      </c>
      <c r="J77" s="3">
        <f>SUM(J75:J76)</f>
        <v>382</v>
      </c>
      <c r="K77" s="1">
        <f>IFERROR(J77/J$11,0)</f>
        <v>1.0001832796585761E-2</v>
      </c>
      <c r="L77" s="3">
        <f>SUM(L75:L76)</f>
        <v>405</v>
      </c>
      <c r="M77" s="1">
        <f>IFERROR(L77/L$11,0)</f>
        <v>1.0009391527853295E-2</v>
      </c>
      <c r="N77" s="3">
        <f>SUM(N75:N76)</f>
        <v>402</v>
      </c>
      <c r="O77" s="1">
        <f>IFERROR(N77/N$11,0)</f>
        <v>1.0010458688181682E-2</v>
      </c>
      <c r="P77" s="3">
        <f>SUM(P75:P76)</f>
        <v>555</v>
      </c>
      <c r="Q77" s="1">
        <f>IFERROR(P77/P$11,0)</f>
        <v>1.0004506534474988E-2</v>
      </c>
      <c r="R77" s="3">
        <f>SUM(R75:R76)</f>
        <v>549</v>
      </c>
      <c r="S77" s="1">
        <f>IFERROR(R77/R$11,0)</f>
        <v>9.9918099918099926E-3</v>
      </c>
      <c r="T77" s="3">
        <f>SUM(T75:T76)</f>
        <v>541</v>
      </c>
      <c r="U77" s="1">
        <f>IFERROR(T77/T$11,0)</f>
        <v>1.000832485431505E-2</v>
      </c>
      <c r="V77" s="3">
        <f>SUM(V75:V76)</f>
        <v>558</v>
      </c>
      <c r="W77" s="1">
        <f>IFERROR(V77/V$11,0)</f>
        <v>9.9919419822723614E-3</v>
      </c>
      <c r="X77" s="3">
        <f>SUM(X75:X76)</f>
        <v>531</v>
      </c>
      <c r="Y77" s="1">
        <f>IFERROR(X77/X$11,0)</f>
        <v>9.9996233663515507E-3</v>
      </c>
      <c r="Z77" s="3">
        <f>SUM(Z75:Z76)</f>
        <v>506</v>
      </c>
      <c r="AA77" s="1">
        <f>IFERROR(Z77/Z$11,0)</f>
        <v>1.0009891196834817E-2</v>
      </c>
      <c r="AB77" s="3">
        <f>SUM(AB75:AB76)</f>
        <v>528</v>
      </c>
      <c r="AC77" s="1">
        <f>IFERROR(AB77/AB$11,0)</f>
        <v>9.9977277891388321E-3</v>
      </c>
      <c r="AD77" s="3">
        <f>SUM(AD75:AD76)</f>
        <v>480</v>
      </c>
      <c r="AE77" s="1">
        <f>IFERROR(AD77/AD$11,0)</f>
        <v>9.9945862657727057E-3</v>
      </c>
      <c r="AF77" s="3">
        <f>SUM(AF75:AF76)</f>
        <v>494</v>
      </c>
      <c r="AG77" s="1">
        <f>IFERROR(AF77/AF$11,0)</f>
        <v>1.0004455425493134E-2</v>
      </c>
      <c r="AH77" s="3">
        <f>SUM(AH75:AH76)</f>
        <v>402</v>
      </c>
      <c r="AI77" s="1">
        <f>IFERROR(AH77/AH$11,0)</f>
        <v>1.0001741596795462E-2</v>
      </c>
      <c r="AJ77" s="3">
        <f>SUM(AJ75:AJ76)</f>
        <v>481</v>
      </c>
      <c r="AK77" s="1">
        <f>IFERROR(AJ77/AJ$11,0)</f>
        <v>9.9914833509898004E-3</v>
      </c>
      <c r="AL77" s="3">
        <f>SUM(AL75:AL76)</f>
        <v>449</v>
      </c>
      <c r="AM77" s="1">
        <f>IFERROR(AL77/AL$11,0)</f>
        <v>9.997105515106984E-3</v>
      </c>
      <c r="AN77" s="3">
        <f>SUM(AN75:AN76)</f>
        <v>547</v>
      </c>
      <c r="AO77" s="1">
        <f>IFERROR(AN77/AN$11,0)</f>
        <v>9.9954317039744178E-3</v>
      </c>
      <c r="AP77" s="3">
        <f>SUM(AP75:AP76)</f>
        <v>492</v>
      </c>
      <c r="AQ77" s="1">
        <f>IFERROR(AP77/AP$11,0)</f>
        <v>9.9949212798374817E-3</v>
      </c>
      <c r="AR77" s="3">
        <f>SUM(AR75:AR76)</f>
        <v>509</v>
      </c>
      <c r="AS77" s="1">
        <f>IFERROR(AR77/AR$11,0)</f>
        <v>1.000845507993E-2</v>
      </c>
      <c r="AT77" s="3">
        <f>SUM(AT75:AT76)</f>
        <v>482</v>
      </c>
      <c r="AU77" s="1">
        <f>IFERROR(AT77/AT$11,0)</f>
        <v>1.0004566399601478E-2</v>
      </c>
      <c r="AV77" s="3">
        <f>SUM(AV75:AV76)</f>
        <v>412</v>
      </c>
      <c r="AW77" s="1">
        <f>IFERROR(AV77/AV$11,0)</f>
        <v>9.9973308097352654E-3</v>
      </c>
      <c r="AX77" s="3">
        <f>SUM(AX75:AX76)</f>
        <v>515</v>
      </c>
      <c r="AY77" s="1">
        <f>IFERROR(AX77/AX$11,0)</f>
        <v>1.0007384089230889E-2</v>
      </c>
      <c r="AZ77" s="3">
        <f>SUM(AZ75:AZ76)</f>
        <v>416</v>
      </c>
      <c r="BA77" s="1">
        <f>IFERROR(AZ77/AZ$11,0)</f>
        <v>1.0001202067556197E-2</v>
      </c>
      <c r="BB77" s="3">
        <f>SUM(BB75:BB76)</f>
        <v>434</v>
      </c>
      <c r="BC77" s="1">
        <f>IFERROR(BB77/BB$11,0)</f>
        <v>9.9979266972286852E-3</v>
      </c>
      <c r="BD77" s="3">
        <f>SUM(BD75:BD76)</f>
        <v>399</v>
      </c>
      <c r="BE77" s="1">
        <f>IFERROR(BD77/BD$11,0)</f>
        <v>9.9982459217681108E-3</v>
      </c>
      <c r="BF77" s="3">
        <f>SUM(BF75:BF76)</f>
        <v>390</v>
      </c>
      <c r="BG77" s="1">
        <f>IFERROR(BF77/BF$11,0)</f>
        <v>1.0012579908089651E-2</v>
      </c>
      <c r="BH77" s="3">
        <f>SUM(BH75:BH76)</f>
        <v>377</v>
      </c>
      <c r="BI77" s="1">
        <f>IFERROR(BH77/BH$11,0)</f>
        <v>9.9968179889690281E-3</v>
      </c>
      <c r="BJ77" s="3">
        <f>SUM(BJ75:BJ76)</f>
        <v>387</v>
      </c>
      <c r="BK77" s="1">
        <f>IFERROR(BJ77/BJ$11,0)</f>
        <v>1.0003877471888328E-2</v>
      </c>
      <c r="BL77" s="3">
        <f>SUM(BL75:BL76)</f>
        <v>428</v>
      </c>
      <c r="BM77" s="1">
        <f>IFERROR(BL77/BL$11,0)</f>
        <v>1.0008652339639408E-2</v>
      </c>
      <c r="BN77" s="3">
        <f>SUM(BN75:BN76)</f>
        <v>401</v>
      </c>
      <c r="BO77" s="1">
        <f>IFERROR(BN77/BN$11,0)</f>
        <v>1.0007736654271382E-2</v>
      </c>
      <c r="BP77" s="3">
        <f>SUM(BP75:BP76)</f>
        <v>355</v>
      </c>
      <c r="BQ77" s="1">
        <f>IFERROR(BP77/BP$11,0)</f>
        <v>1.0012974558582953E-2</v>
      </c>
      <c r="BR77" s="3">
        <f>SUM(BR75:BR76)</f>
        <v>332</v>
      </c>
      <c r="BS77" s="1">
        <f>IFERROR(BR77/BR$11,0)</f>
        <v>1.0006329304680671E-2</v>
      </c>
      <c r="BT77" s="3">
        <f>SUM(BT75:BT76)</f>
        <v>427</v>
      </c>
      <c r="BU77" s="1">
        <f>IFERROR(BT77/BT$11,0)</f>
        <v>1.0008203445447087E-2</v>
      </c>
      <c r="BV77" s="3">
        <f>SUM(BV75:BV76)</f>
        <v>342</v>
      </c>
      <c r="BW77" s="1">
        <f>IFERROR(BV77/BV$11,0)</f>
        <v>9.9883177570093459E-3</v>
      </c>
      <c r="BX77" s="3">
        <f>SUM(BX75:BX76)</f>
        <v>373</v>
      </c>
      <c r="BY77" s="1">
        <f>IFERROR(BX77/BX$11,0)</f>
        <v>1.0005901604163314E-2</v>
      </c>
      <c r="BZ77" s="3">
        <f>SUM(BZ75:BZ76)</f>
        <v>328</v>
      </c>
      <c r="CA77" s="1">
        <f>IFERROR(BZ77/BZ$11,0)</f>
        <v>9.9890364234376909E-3</v>
      </c>
      <c r="CB77" s="3">
        <f>SUM(CB75:CB76)</f>
        <v>372</v>
      </c>
      <c r="CC77" s="1">
        <f>IFERROR(CB77/CB$11,0)</f>
        <v>9.9983873568779223E-3</v>
      </c>
      <c r="CD77" s="3">
        <f>SUM(CD75:CD76)</f>
        <v>374</v>
      </c>
      <c r="CE77" s="1">
        <f>IFERROR(CD77/CD$11,0)</f>
        <v>1.001338688085676E-2</v>
      </c>
      <c r="CF77" s="3">
        <f>SUM(CF75:CF76)</f>
        <v>382</v>
      </c>
      <c r="CG77" s="1">
        <f>IFERROR(CF77/CF$11,0)</f>
        <v>9.9947671376242799E-3</v>
      </c>
      <c r="CH77" s="3">
        <f>SUM(CH75:CH76)</f>
        <v>392</v>
      </c>
      <c r="CI77" s="1">
        <f>IFERROR(CH77/CH$11,0)</f>
        <v>1.0012259910093992E-2</v>
      </c>
      <c r="CJ77" s="3">
        <f>SUM(CJ75:CJ76)</f>
        <v>417</v>
      </c>
      <c r="CK77" s="1">
        <f>IFERROR(CJ77/CJ$11,0)</f>
        <v>1.0012004801920769E-2</v>
      </c>
      <c r="CL77" s="3">
        <f>SUM(CL75:CL76)</f>
        <v>451</v>
      </c>
      <c r="CM77" s="1">
        <f>IFERROR(CL77/CL$11,0)</f>
        <v>1.000465848843142E-2</v>
      </c>
      <c r="CN77" s="3">
        <f>SUM(CN75:CN76)</f>
        <v>412</v>
      </c>
      <c r="CO77" s="1">
        <f>IFERROR(CN77/CN$11,0)</f>
        <v>9.9924813853653812E-3</v>
      </c>
      <c r="CP77" s="3">
        <f>SUM(CP75:CP76)</f>
        <v>396</v>
      </c>
      <c r="CQ77" s="1">
        <f>IFERROR(CP77/CP$11,0)</f>
        <v>9.9992424816301804E-3</v>
      </c>
      <c r="CR77" s="3">
        <f>SUM(CR75:CR76)</f>
        <v>329</v>
      </c>
      <c r="CS77" s="1">
        <f>IFERROR(CR77/CR$11,0)</f>
        <v>9.9942282572374613E-3</v>
      </c>
      <c r="CT77" s="3">
        <f>SUM(CT75:CT76)</f>
        <v>382</v>
      </c>
      <c r="CU77" s="1">
        <f>IFERROR(CT77/CT$11,0)</f>
        <v>9.9960748397226219E-3</v>
      </c>
      <c r="CV77" s="3">
        <f>SUM(CV75:CV76)</f>
        <v>390</v>
      </c>
      <c r="CW77" s="1">
        <f>IFERROR(CV77/CV$11,0)</f>
        <v>9.9979491386382284E-3</v>
      </c>
      <c r="CX77" s="3">
        <f>SUM(CX75:CX76)</f>
        <v>451</v>
      </c>
      <c r="CY77" s="1">
        <f>IFERROR(CX77/CX$11,0)</f>
        <v>1.0003327048907619E-2</v>
      </c>
      <c r="CZ77" s="3">
        <f>SUM(CZ75:CZ76)</f>
        <v>459</v>
      </c>
      <c r="DA77" s="1">
        <f>IFERROR(CZ77/CZ$11,0)</f>
        <v>9.9949916164013674E-3</v>
      </c>
      <c r="DB77" s="3">
        <f>SUM(DB75:DB76)</f>
        <v>467</v>
      </c>
      <c r="DC77" s="1">
        <f>IFERROR(DB77/DB$11,0)</f>
        <v>9.9957191780821915E-3</v>
      </c>
      <c r="DD77" s="3">
        <f>SUM(OSRRefD75x_0)</f>
        <v>22366</v>
      </c>
      <c r="DE77" s="1">
        <f>IFERROR(DD77/DD$11,0)</f>
        <v>1.0001381752195936E-2</v>
      </c>
      <c r="DF77" s="28"/>
    </row>
    <row r="78" spans="2:110" s="29" customFormat="1" outlineLevel="1" x14ac:dyDescent="0.25">
      <c r="D78" s="5"/>
      <c r="E78" s="2"/>
      <c r="F78" s="5"/>
      <c r="G78" s="2"/>
      <c r="H78" s="5"/>
      <c r="I78" s="2"/>
      <c r="J78" s="5"/>
      <c r="K78" s="2"/>
      <c r="L78" s="5"/>
      <c r="M78" s="2"/>
      <c r="N78" s="5"/>
      <c r="O78" s="2"/>
      <c r="P78" s="5"/>
      <c r="Q78" s="2"/>
      <c r="R78" s="5"/>
      <c r="S78" s="2"/>
      <c r="T78" s="5"/>
      <c r="U78" s="2"/>
      <c r="V78" s="5"/>
      <c r="W78" s="2"/>
      <c r="X78" s="5"/>
      <c r="Y78" s="2"/>
      <c r="Z78" s="5"/>
      <c r="AA78" s="2"/>
      <c r="AB78" s="5"/>
      <c r="AC78" s="2"/>
      <c r="AD78" s="5"/>
      <c r="AE78" s="2"/>
      <c r="AF78" s="5"/>
      <c r="AG78" s="2"/>
      <c r="AH78" s="5"/>
      <c r="AI78" s="2"/>
      <c r="AJ78" s="5"/>
      <c r="AK78" s="2"/>
      <c r="AL78" s="5"/>
      <c r="AM78" s="2"/>
      <c r="AN78" s="5"/>
      <c r="AO78" s="2"/>
      <c r="AP78" s="5"/>
      <c r="AQ78" s="2"/>
      <c r="AR78" s="5"/>
      <c r="AS78" s="2"/>
      <c r="AT78" s="5"/>
      <c r="AU78" s="2"/>
      <c r="AV78" s="5"/>
      <c r="AW78" s="2"/>
      <c r="AX78" s="5"/>
      <c r="AY78" s="2"/>
      <c r="AZ78" s="5"/>
      <c r="BA78" s="2"/>
      <c r="BB78" s="5"/>
      <c r="BC78" s="2"/>
      <c r="BD78" s="5"/>
      <c r="BE78" s="2"/>
      <c r="BF78" s="5"/>
      <c r="BG78" s="2"/>
      <c r="BH78" s="5"/>
      <c r="BI78" s="2"/>
      <c r="BJ78" s="5"/>
      <c r="BK78" s="2"/>
      <c r="BL78" s="5"/>
      <c r="BM78" s="2"/>
      <c r="BN78" s="5"/>
      <c r="BO78" s="2"/>
      <c r="BP78" s="5"/>
      <c r="BQ78" s="2"/>
      <c r="BR78" s="5"/>
      <c r="BS78" s="2"/>
      <c r="BT78" s="5"/>
      <c r="BU78" s="2"/>
      <c r="BV78" s="5"/>
      <c r="BW78" s="2"/>
      <c r="BX78" s="5"/>
      <c r="BY78" s="2"/>
      <c r="BZ78" s="5"/>
      <c r="CA78" s="2"/>
      <c r="CB78" s="5"/>
      <c r="CC78" s="2"/>
      <c r="CD78" s="5"/>
      <c r="CE78" s="2"/>
      <c r="CF78" s="5"/>
      <c r="CG78" s="2"/>
      <c r="CH78" s="5"/>
      <c r="CI78" s="2"/>
      <c r="CJ78" s="5"/>
      <c r="CK78" s="2"/>
      <c r="CL78" s="5"/>
      <c r="CM78" s="2"/>
      <c r="CN78" s="5"/>
      <c r="CO78" s="2"/>
      <c r="CP78" s="5"/>
      <c r="CQ78" s="2"/>
      <c r="CR78" s="5"/>
      <c r="CS78" s="2"/>
      <c r="CT78" s="5"/>
      <c r="CU78" s="2"/>
      <c r="CV78" s="5"/>
      <c r="CW78" s="2"/>
      <c r="CX78" s="5"/>
      <c r="CY78" s="2"/>
      <c r="CZ78" s="5"/>
      <c r="DA78" s="2"/>
      <c r="DB78" s="5"/>
      <c r="DC78" s="2"/>
      <c r="DD78" s="5"/>
      <c r="DE78" s="2"/>
      <c r="DF78" s="33"/>
    </row>
    <row r="79" spans="2:110" outlineLevel="1" x14ac:dyDescent="0.25">
      <c r="B79">
        <v>52510</v>
      </c>
      <c r="C79" t="s">
        <v>52</v>
      </c>
      <c r="D79" s="5">
        <f>IFERROR(4309,0)</f>
        <v>4309</v>
      </c>
      <c r="E79" s="4">
        <f>IFERROR(D79/D$11,0)</f>
        <v>0.11412453319914188</v>
      </c>
      <c r="F79" s="5">
        <f>IFERROR(4309,0)</f>
        <v>4309</v>
      </c>
      <c r="G79" s="4">
        <f>IFERROR(F79/F$11,0)</f>
        <v>0.11385314555975375</v>
      </c>
      <c r="H79" s="5">
        <f>IFERROR(4309,0)</f>
        <v>4309</v>
      </c>
      <c r="I79" s="4">
        <f>IFERROR(H79/H$11,0)</f>
        <v>0.13186645040854422</v>
      </c>
      <c r="J79" s="5">
        <f>IFERROR(4309,0)</f>
        <v>4309</v>
      </c>
      <c r="K79" s="4">
        <f>IFERROR(J79/J$11,0)</f>
        <v>0.11282172125782211</v>
      </c>
      <c r="L79" s="5">
        <f>IFERROR(4309,0)</f>
        <v>4309</v>
      </c>
      <c r="M79" s="4">
        <f>IFERROR(L79/L$11,0)</f>
        <v>0.10649498294696258</v>
      </c>
      <c r="N79" s="5">
        <f>IFERROR(4309,0)</f>
        <v>4309</v>
      </c>
      <c r="O79" s="4">
        <f>IFERROR(N79/N$11,0)</f>
        <v>0.1073011604163554</v>
      </c>
      <c r="P79" s="5">
        <f>IFERROR(4309,0)</f>
        <v>4309</v>
      </c>
      <c r="Q79" s="4">
        <f>IFERROR(P79/P$11,0)</f>
        <v>7.7674628210905816E-2</v>
      </c>
      <c r="R79" s="5">
        <f>IFERROR(4309,0)</f>
        <v>4309</v>
      </c>
      <c r="S79" s="4">
        <f>IFERROR(R79/R$11,0)</f>
        <v>7.8423878423878421E-2</v>
      </c>
      <c r="T79" s="5">
        <f>IFERROR(4309,0)</f>
        <v>4309</v>
      </c>
      <c r="U79" s="4">
        <f>IFERROR(T79/T$11,0)</f>
        <v>7.9715104985662755E-2</v>
      </c>
      <c r="V79" s="5">
        <f>IFERROR(4309,0)</f>
        <v>4309</v>
      </c>
      <c r="W79" s="4">
        <f>IFERROR(V79/V$11,0)</f>
        <v>7.7159996418658783E-2</v>
      </c>
      <c r="X79" s="5">
        <f>IFERROR(4309,0)</f>
        <v>4309</v>
      </c>
      <c r="Y79" s="4">
        <f>IFERROR(X79/X$11,0)</f>
        <v>8.1145719558585364E-2</v>
      </c>
      <c r="Z79" s="5">
        <f>IFERROR(4309,0)</f>
        <v>4309</v>
      </c>
      <c r="AA79" s="4">
        <f>IFERROR(Z79/Z$11,0)</f>
        <v>8.5242334322453012E-2</v>
      </c>
      <c r="AB79" s="5">
        <f>IFERROR(4309,0)</f>
        <v>4309</v>
      </c>
      <c r="AC79" s="4">
        <f>IFERROR(AB79/AB$11,0)</f>
        <v>8.1591305006437936E-2</v>
      </c>
      <c r="AD79" s="5">
        <f>IFERROR(4309,0)</f>
        <v>4309</v>
      </c>
      <c r="AE79" s="4">
        <f>IFERROR(AD79/AD$11,0)</f>
        <v>8.9722233790030401E-2</v>
      </c>
      <c r="AF79" s="5">
        <f>IFERROR(4309,0)</f>
        <v>4309</v>
      </c>
      <c r="AG79" s="4">
        <f>IFERROR(AF79/AF$11,0)</f>
        <v>8.7265583863258944E-2</v>
      </c>
      <c r="AH79" s="5">
        <f>IFERROR(4309,0)</f>
        <v>4309</v>
      </c>
      <c r="AI79" s="4">
        <f>IFERROR(AH79/AH$11,0)</f>
        <v>0.10720772273779017</v>
      </c>
      <c r="AJ79" s="5">
        <f>IFERROR(4309,0)</f>
        <v>4309</v>
      </c>
      <c r="AK79" s="4">
        <f>IFERROR(AJ79/AJ$11,0)</f>
        <v>8.9507903865727753E-2</v>
      </c>
      <c r="AL79" s="5">
        <f>IFERROR(4309,0)</f>
        <v>4309</v>
      </c>
      <c r="AM79" s="4">
        <f>IFERROR(AL79/AL$11,0)</f>
        <v>9.5941041569256119E-2</v>
      </c>
      <c r="AN79" s="5">
        <f>IFERROR(4309,0)</f>
        <v>4309</v>
      </c>
      <c r="AO79" s="4">
        <f>IFERROR(AN79/AN$11,0)</f>
        <v>7.8739150296939245E-2</v>
      </c>
      <c r="AP79" s="5">
        <f>IFERROR(4309,0)</f>
        <v>4309</v>
      </c>
      <c r="AQ79" s="4">
        <f>IFERROR(AP79/AP$11,0)</f>
        <v>8.7536820721178257E-2</v>
      </c>
      <c r="AR79" s="5">
        <f>IFERROR(4309,0)</f>
        <v>4309</v>
      </c>
      <c r="AS79" s="4">
        <f>IFERROR(AR79/AR$11,0)</f>
        <v>8.4727766089230591E-2</v>
      </c>
      <c r="AT79" s="5">
        <f>IFERROR(4309,0)</f>
        <v>4309</v>
      </c>
      <c r="AU79" s="4">
        <f>IFERROR(AT79/AT$11,0)</f>
        <v>8.9439163103491218E-2</v>
      </c>
      <c r="AV79" s="5">
        <f>IFERROR(4309,0)</f>
        <v>4309</v>
      </c>
      <c r="AW79" s="4">
        <f>IFERROR(AV79/AV$11,0)</f>
        <v>0.10455946227948848</v>
      </c>
      <c r="AX79" s="5">
        <f>IFERROR(4309,0)</f>
        <v>4309</v>
      </c>
      <c r="AY79" s="4">
        <f>IFERROR(AX79/AX$11,0)</f>
        <v>8.3731685515526025E-2</v>
      </c>
      <c r="AZ79" s="5">
        <f>IFERROR(4309,0)</f>
        <v>4309</v>
      </c>
      <c r="BA79" s="4">
        <f>IFERROR(AZ79/AZ$11,0)</f>
        <v>0.10359418199302801</v>
      </c>
      <c r="BB79" s="5">
        <f>IFERROR(4309,0)</f>
        <v>4309</v>
      </c>
      <c r="BC79" s="4">
        <f>IFERROR(BB79/BB$11,0)</f>
        <v>9.9265129351056233E-2</v>
      </c>
      <c r="BD79" s="5">
        <f>IFERROR(4309,0)</f>
        <v>4309</v>
      </c>
      <c r="BE79" s="4">
        <f>IFERROR(BD79/BD$11,0)</f>
        <v>0.10797604430300449</v>
      </c>
      <c r="BF79" s="5">
        <f>IFERROR(4309,0)</f>
        <v>4309</v>
      </c>
      <c r="BG79" s="4">
        <f>IFERROR(BF79/BF$11,0)</f>
        <v>0.11062617134348283</v>
      </c>
      <c r="BH79" s="5">
        <f>IFERROR(4309,0)</f>
        <v>4309</v>
      </c>
      <c r="BI79" s="4">
        <f>IFERROR(BH79/BH$11,0)</f>
        <v>0.11426071277047094</v>
      </c>
      <c r="BJ79" s="5">
        <f>IFERROR(4309,0)</f>
        <v>4309</v>
      </c>
      <c r="BK79" s="4">
        <f>IFERROR(BJ79/BJ$11,0)</f>
        <v>0.11138684244539226</v>
      </c>
      <c r="BL79" s="5">
        <f>IFERROR(4309,0)</f>
        <v>4309</v>
      </c>
      <c r="BM79" s="4">
        <f>IFERROR(BL79/BL$11,0)</f>
        <v>0.10076467974650984</v>
      </c>
      <c r="BN79" s="5">
        <f>IFERROR(4309,0)</f>
        <v>4309</v>
      </c>
      <c r="BO79" s="4">
        <f>IFERROR(BN79/BN$11,0)</f>
        <v>0.10753949437220794</v>
      </c>
      <c r="BP79" s="5">
        <f>IFERROR(4309,0)</f>
        <v>4309</v>
      </c>
      <c r="BQ79" s="4">
        <f>IFERROR(BP79/BP$11,0)</f>
        <v>0.12153776724770125</v>
      </c>
      <c r="BR79" s="5">
        <f>IFERROR(4309,0)</f>
        <v>4309</v>
      </c>
      <c r="BS79" s="4">
        <f>IFERROR(BR79/BR$11,0)</f>
        <v>0.12987130413815967</v>
      </c>
      <c r="BT79" s="5">
        <f>IFERROR(4309,0)</f>
        <v>4309</v>
      </c>
      <c r="BU79" s="4">
        <f>IFERROR(BT79/BT$11,0)</f>
        <v>0.10099613266143209</v>
      </c>
      <c r="BV79" s="5">
        <f>IFERROR(4309,0)</f>
        <v>4309</v>
      </c>
      <c r="BW79" s="4">
        <f>IFERROR(BV79/BV$11,0)</f>
        <v>0.12584696261682243</v>
      </c>
      <c r="BX79" s="5">
        <f>IFERROR(4309,0)</f>
        <v>4309</v>
      </c>
      <c r="BY79" s="4">
        <f>IFERROR(BX79/BX$11,0)</f>
        <v>0.11559096518053544</v>
      </c>
      <c r="BZ79" s="5">
        <f>IFERROR(4309,0)</f>
        <v>4309</v>
      </c>
      <c r="CA79" s="4">
        <f>IFERROR(BZ79/BZ$11,0)</f>
        <v>0.13122792057497867</v>
      </c>
      <c r="CB79" s="5">
        <f>IFERROR(4309,0)</f>
        <v>4309</v>
      </c>
      <c r="CC79" s="4">
        <f>IFERROR(CB79/CB$11,0)</f>
        <v>0.11581465355050261</v>
      </c>
      <c r="CD79" s="5">
        <f>IFERROR(4309,0)</f>
        <v>4309</v>
      </c>
      <c r="CE79" s="4">
        <f>IFERROR(CD79/CD$11,0)</f>
        <v>0.11536813922356091</v>
      </c>
      <c r="CF79" s="5">
        <f>IFERROR(4309,0)</f>
        <v>4309</v>
      </c>
      <c r="CG79" s="4">
        <f>IFERROR(CF79/CF$11,0)</f>
        <v>0.11274201988487703</v>
      </c>
      <c r="CH79" s="5">
        <f>IFERROR(4309,0)</f>
        <v>4309</v>
      </c>
      <c r="CI79" s="4">
        <f>IFERROR(CH79/CH$11,0)</f>
        <v>0.11005823457294646</v>
      </c>
      <c r="CJ79" s="5">
        <f>IFERROR(4309,0)</f>
        <v>4309</v>
      </c>
      <c r="CK79" s="4">
        <f>IFERROR(CJ79/CJ$11,0)</f>
        <v>0.10345738295318127</v>
      </c>
      <c r="CL79" s="5">
        <f>IFERROR(4309,0)</f>
        <v>4309</v>
      </c>
      <c r="CM79" s="4">
        <f>IFERROR(CL79/CL$11,0)</f>
        <v>9.5587745957097542E-2</v>
      </c>
      <c r="CN79" s="5">
        <f>IFERROR(4309,0)</f>
        <v>4309</v>
      </c>
      <c r="CO79" s="4">
        <f>IFERROR(CN79/CN$11,0)</f>
        <v>0.10450874342121219</v>
      </c>
      <c r="CP79" s="5">
        <f>IFERROR(4309,0)</f>
        <v>4309</v>
      </c>
      <c r="CQ79" s="4">
        <f>IFERROR(CP79/CP$11,0)</f>
        <v>0.10880488851854657</v>
      </c>
      <c r="CR79" s="5">
        <f>IFERROR(4309,0)</f>
        <v>4309</v>
      </c>
      <c r="CS79" s="4">
        <f>IFERROR(CR79/CR$11,0)</f>
        <v>0.13089705033567242</v>
      </c>
      <c r="CT79" s="5">
        <f>IFERROR(4309,0)</f>
        <v>4309</v>
      </c>
      <c r="CU79" s="4">
        <f>IFERROR(CT79/CT$11,0)</f>
        <v>0.11275677090147848</v>
      </c>
      <c r="CV79" s="5">
        <f>IFERROR(4309,0)</f>
        <v>4309</v>
      </c>
      <c r="CW79" s="4">
        <f>IFERROR(CV79/CV$11,0)</f>
        <v>0.11046452009844135</v>
      </c>
      <c r="CX79" s="5">
        <f>IFERROR(4309,0)</f>
        <v>4309</v>
      </c>
      <c r="CY79" s="4">
        <f>IFERROR(CX79/CX$11,0)</f>
        <v>9.5575024952866808E-2</v>
      </c>
      <c r="CZ79" s="5">
        <f>IFERROR(4309,0)</f>
        <v>4309</v>
      </c>
      <c r="DA79" s="4">
        <f>IFERROR(CZ79/CZ$11,0)</f>
        <v>9.3830977941336588E-2</v>
      </c>
      <c r="DB79" s="5">
        <f>IFERROR(4309,0)</f>
        <v>4309</v>
      </c>
      <c r="DC79" s="4">
        <f>IFERROR(DB79/DB$11,0)</f>
        <v>9.2230308219178075E-2</v>
      </c>
      <c r="DD79" s="5"/>
      <c r="DE79" s="4">
        <f>IFERROR(DD79/DD$11,0)</f>
        <v>0</v>
      </c>
      <c r="DF79" s="28"/>
    </row>
    <row r="80" spans="2:110" ht="7.5" customHeight="1" x14ac:dyDescent="0.25">
      <c r="D80" s="5"/>
      <c r="E80" s="2"/>
      <c r="F80" s="5"/>
      <c r="G80" s="2"/>
      <c r="H80" s="5"/>
      <c r="I80" s="2"/>
      <c r="J80" s="5"/>
      <c r="K80" s="2"/>
      <c r="L80" s="5"/>
      <c r="M80" s="2"/>
      <c r="N80" s="5"/>
      <c r="O80" s="2"/>
      <c r="P80" s="5"/>
      <c r="Q80" s="2"/>
      <c r="R80" s="5"/>
      <c r="S80" s="2"/>
      <c r="T80" s="5"/>
      <c r="U80" s="2"/>
      <c r="V80" s="5"/>
      <c r="W80" s="2"/>
      <c r="X80" s="5"/>
      <c r="Y80" s="2"/>
      <c r="Z80" s="5"/>
      <c r="AA80" s="2"/>
      <c r="AB80" s="5"/>
      <c r="AC80" s="2"/>
      <c r="AD80" s="5"/>
      <c r="AE80" s="2"/>
      <c r="AF80" s="5"/>
      <c r="AG80" s="2"/>
      <c r="AH80" s="5"/>
      <c r="AI80" s="2"/>
      <c r="AJ80" s="5"/>
      <c r="AK80" s="2"/>
      <c r="AL80" s="5"/>
      <c r="AM80" s="2"/>
      <c r="AN80" s="5"/>
      <c r="AO80" s="2"/>
      <c r="AP80" s="5"/>
      <c r="AQ80" s="2"/>
      <c r="AR80" s="5"/>
      <c r="AS80" s="2"/>
      <c r="AT80" s="5"/>
      <c r="AU80" s="2"/>
      <c r="AV80" s="5"/>
      <c r="AW80" s="2"/>
      <c r="AX80" s="5"/>
      <c r="AY80" s="2"/>
      <c r="AZ80" s="5"/>
      <c r="BA80" s="2"/>
      <c r="BB80" s="5"/>
      <c r="BC80" s="2"/>
      <c r="BD80" s="5"/>
      <c r="BE80" s="2"/>
      <c r="BF80" s="5"/>
      <c r="BG80" s="2"/>
      <c r="BH80" s="5"/>
      <c r="BI80" s="2"/>
      <c r="BJ80" s="5"/>
      <c r="BK80" s="2"/>
      <c r="BL80" s="5"/>
      <c r="BM80" s="2"/>
      <c r="BN80" s="5"/>
      <c r="BO80" s="2"/>
      <c r="BP80" s="5"/>
      <c r="BQ80" s="2"/>
      <c r="BR80" s="5"/>
      <c r="BS80" s="2"/>
      <c r="BT80" s="5"/>
      <c r="BU80" s="2"/>
      <c r="BV80" s="5"/>
      <c r="BW80" s="2"/>
      <c r="BX80" s="5"/>
      <c r="BY80" s="2"/>
      <c r="BZ80" s="5"/>
      <c r="CA80" s="2"/>
      <c r="CB80" s="5"/>
      <c r="CC80" s="2"/>
      <c r="CD80" s="5"/>
      <c r="CE80" s="2"/>
      <c r="CF80" s="5"/>
      <c r="CG80" s="2"/>
      <c r="CH80" s="5"/>
      <c r="CI80" s="2"/>
      <c r="CJ80" s="5"/>
      <c r="CK80" s="2"/>
      <c r="CL80" s="5"/>
      <c r="CM80" s="2"/>
      <c r="CN80" s="5"/>
      <c r="CO80" s="2"/>
      <c r="CP80" s="5"/>
      <c r="CQ80" s="2"/>
      <c r="CR80" s="5"/>
      <c r="CS80" s="2"/>
      <c r="CT80" s="5"/>
      <c r="CU80" s="2"/>
      <c r="CV80" s="5"/>
      <c r="CW80" s="2"/>
      <c r="CX80" s="5"/>
      <c r="CY80" s="2"/>
      <c r="CZ80" s="5"/>
      <c r="DA80" s="2"/>
      <c r="DB80" s="5"/>
      <c r="DC80" s="2"/>
      <c r="DD80" s="5"/>
      <c r="DE80" s="2"/>
      <c r="DF80" s="28"/>
    </row>
    <row r="81" spans="2:110" x14ac:dyDescent="0.25">
      <c r="B81" s="30"/>
      <c r="C81" s="31" t="s">
        <v>18</v>
      </c>
      <c r="D81" s="3">
        <f>SUM(D79:D80)</f>
        <v>4309</v>
      </c>
      <c r="E81" s="1">
        <f>IFERROR(D81/D$11,0)</f>
        <v>0.11412453319914188</v>
      </c>
      <c r="F81" s="3">
        <f>SUM(F79:F80)</f>
        <v>4309</v>
      </c>
      <c r="G81" s="1">
        <f>IFERROR(F81/F$11,0)</f>
        <v>0.11385314555975375</v>
      </c>
      <c r="H81" s="3">
        <f>SUM(H79:H80)</f>
        <v>4309</v>
      </c>
      <c r="I81" s="1">
        <f>IFERROR(H81/H$11,0)</f>
        <v>0.13186645040854422</v>
      </c>
      <c r="J81" s="3">
        <f>SUM(J79:J80)</f>
        <v>4309</v>
      </c>
      <c r="K81" s="1">
        <f>IFERROR(J81/J$11,0)</f>
        <v>0.11282172125782211</v>
      </c>
      <c r="L81" s="3">
        <f>SUM(L79:L80)</f>
        <v>4309</v>
      </c>
      <c r="M81" s="1">
        <f>IFERROR(L81/L$11,0)</f>
        <v>0.10649498294696258</v>
      </c>
      <c r="N81" s="3">
        <f>SUM(N79:N80)</f>
        <v>4309</v>
      </c>
      <c r="O81" s="1">
        <f>IFERROR(N81/N$11,0)</f>
        <v>0.1073011604163554</v>
      </c>
      <c r="P81" s="3">
        <f>SUM(P79:P80)</f>
        <v>4309</v>
      </c>
      <c r="Q81" s="1">
        <f>IFERROR(P81/P$11,0)</f>
        <v>7.7674628210905816E-2</v>
      </c>
      <c r="R81" s="3">
        <f>SUM(R79:R80)</f>
        <v>4309</v>
      </c>
      <c r="S81" s="1">
        <f>IFERROR(R81/R$11,0)</f>
        <v>7.8423878423878421E-2</v>
      </c>
      <c r="T81" s="3">
        <f>SUM(T79:T80)</f>
        <v>4309</v>
      </c>
      <c r="U81" s="1">
        <f>IFERROR(T81/T$11,0)</f>
        <v>7.9715104985662755E-2</v>
      </c>
      <c r="V81" s="3">
        <f>SUM(V79:V80)</f>
        <v>4309</v>
      </c>
      <c r="W81" s="1">
        <f>IFERROR(V81/V$11,0)</f>
        <v>7.7159996418658783E-2</v>
      </c>
      <c r="X81" s="3">
        <f>SUM(X79:X80)</f>
        <v>4309</v>
      </c>
      <c r="Y81" s="1">
        <f>IFERROR(X81/X$11,0)</f>
        <v>8.1145719558585364E-2</v>
      </c>
      <c r="Z81" s="3">
        <f>SUM(Z79:Z80)</f>
        <v>4309</v>
      </c>
      <c r="AA81" s="1">
        <f>IFERROR(Z81/Z$11,0)</f>
        <v>8.5242334322453012E-2</v>
      </c>
      <c r="AB81" s="3">
        <f>SUM(AB79:AB80)</f>
        <v>4309</v>
      </c>
      <c r="AC81" s="1">
        <f>IFERROR(AB81/AB$11,0)</f>
        <v>8.1591305006437936E-2</v>
      </c>
      <c r="AD81" s="3">
        <f>SUM(AD79:AD80)</f>
        <v>4309</v>
      </c>
      <c r="AE81" s="1">
        <f>IFERROR(AD81/AD$11,0)</f>
        <v>8.9722233790030401E-2</v>
      </c>
      <c r="AF81" s="3">
        <f>SUM(AF79:AF80)</f>
        <v>4309</v>
      </c>
      <c r="AG81" s="1">
        <f>IFERROR(AF81/AF$11,0)</f>
        <v>8.7265583863258944E-2</v>
      </c>
      <c r="AH81" s="3">
        <f>SUM(AH79:AH80)</f>
        <v>4309</v>
      </c>
      <c r="AI81" s="1">
        <f>IFERROR(AH81/AH$11,0)</f>
        <v>0.10720772273779017</v>
      </c>
      <c r="AJ81" s="3">
        <f>SUM(AJ79:AJ80)</f>
        <v>4309</v>
      </c>
      <c r="AK81" s="1">
        <f>IFERROR(AJ81/AJ$11,0)</f>
        <v>8.9507903865727753E-2</v>
      </c>
      <c r="AL81" s="3">
        <f>SUM(AL79:AL80)</f>
        <v>4309</v>
      </c>
      <c r="AM81" s="1">
        <f>IFERROR(AL81/AL$11,0)</f>
        <v>9.5941041569256119E-2</v>
      </c>
      <c r="AN81" s="3">
        <f>SUM(AN79:AN80)</f>
        <v>4309</v>
      </c>
      <c r="AO81" s="1">
        <f>IFERROR(AN81/AN$11,0)</f>
        <v>7.8739150296939245E-2</v>
      </c>
      <c r="AP81" s="3">
        <f>SUM(AP79:AP80)</f>
        <v>4309</v>
      </c>
      <c r="AQ81" s="1">
        <f>IFERROR(AP81/AP$11,0)</f>
        <v>8.7536820721178257E-2</v>
      </c>
      <c r="AR81" s="3">
        <f>SUM(AR79:AR80)</f>
        <v>4309</v>
      </c>
      <c r="AS81" s="1">
        <f>IFERROR(AR81/AR$11,0)</f>
        <v>8.4727766089230591E-2</v>
      </c>
      <c r="AT81" s="3">
        <f>SUM(AT79:AT80)</f>
        <v>4309</v>
      </c>
      <c r="AU81" s="1">
        <f>IFERROR(AT81/AT$11,0)</f>
        <v>8.9439163103491218E-2</v>
      </c>
      <c r="AV81" s="3">
        <f>SUM(AV79:AV80)</f>
        <v>4309</v>
      </c>
      <c r="AW81" s="1">
        <f>IFERROR(AV81/AV$11,0)</f>
        <v>0.10455946227948848</v>
      </c>
      <c r="AX81" s="3">
        <f>SUM(AX79:AX80)</f>
        <v>4309</v>
      </c>
      <c r="AY81" s="1">
        <f>IFERROR(AX81/AX$11,0)</f>
        <v>8.3731685515526025E-2</v>
      </c>
      <c r="AZ81" s="3">
        <f>SUM(AZ79:AZ80)</f>
        <v>4309</v>
      </c>
      <c r="BA81" s="1">
        <f>IFERROR(AZ81/AZ$11,0)</f>
        <v>0.10359418199302801</v>
      </c>
      <c r="BB81" s="3">
        <f>SUM(BB79:BB80)</f>
        <v>4309</v>
      </c>
      <c r="BC81" s="1">
        <f>IFERROR(BB81/BB$11,0)</f>
        <v>9.9265129351056233E-2</v>
      </c>
      <c r="BD81" s="3">
        <f>SUM(BD79:BD80)</f>
        <v>4309</v>
      </c>
      <c r="BE81" s="1">
        <f>IFERROR(BD81/BD$11,0)</f>
        <v>0.10797604430300449</v>
      </c>
      <c r="BF81" s="3">
        <f>SUM(BF79:BF80)</f>
        <v>4309</v>
      </c>
      <c r="BG81" s="1">
        <f>IFERROR(BF81/BF$11,0)</f>
        <v>0.11062617134348283</v>
      </c>
      <c r="BH81" s="3">
        <f>SUM(BH79:BH80)</f>
        <v>4309</v>
      </c>
      <c r="BI81" s="1">
        <f>IFERROR(BH81/BH$11,0)</f>
        <v>0.11426071277047094</v>
      </c>
      <c r="BJ81" s="3">
        <f>SUM(BJ79:BJ80)</f>
        <v>4309</v>
      </c>
      <c r="BK81" s="1">
        <f>IFERROR(BJ81/BJ$11,0)</f>
        <v>0.11138684244539226</v>
      </c>
      <c r="BL81" s="3">
        <f>SUM(BL79:BL80)</f>
        <v>4309</v>
      </c>
      <c r="BM81" s="1">
        <f>IFERROR(BL81/BL$11,0)</f>
        <v>0.10076467974650984</v>
      </c>
      <c r="BN81" s="3">
        <f>SUM(BN79:BN80)</f>
        <v>4309</v>
      </c>
      <c r="BO81" s="1">
        <f>IFERROR(BN81/BN$11,0)</f>
        <v>0.10753949437220794</v>
      </c>
      <c r="BP81" s="3">
        <f>SUM(BP79:BP80)</f>
        <v>4309</v>
      </c>
      <c r="BQ81" s="1">
        <f>IFERROR(BP81/BP$11,0)</f>
        <v>0.12153776724770125</v>
      </c>
      <c r="BR81" s="3">
        <f>SUM(BR79:BR80)</f>
        <v>4309</v>
      </c>
      <c r="BS81" s="1">
        <f>IFERROR(BR81/BR$11,0)</f>
        <v>0.12987130413815967</v>
      </c>
      <c r="BT81" s="3">
        <f>SUM(BT79:BT80)</f>
        <v>4309</v>
      </c>
      <c r="BU81" s="1">
        <f>IFERROR(BT81/BT$11,0)</f>
        <v>0.10099613266143209</v>
      </c>
      <c r="BV81" s="3">
        <f>SUM(BV79:BV80)</f>
        <v>4309</v>
      </c>
      <c r="BW81" s="1">
        <f>IFERROR(BV81/BV$11,0)</f>
        <v>0.12584696261682243</v>
      </c>
      <c r="BX81" s="3">
        <f>SUM(BX79:BX80)</f>
        <v>4309</v>
      </c>
      <c r="BY81" s="1">
        <f>IFERROR(BX81/BX$11,0)</f>
        <v>0.11559096518053544</v>
      </c>
      <c r="BZ81" s="3">
        <f>SUM(BZ79:BZ80)</f>
        <v>4309</v>
      </c>
      <c r="CA81" s="1">
        <f>IFERROR(BZ81/BZ$11,0)</f>
        <v>0.13122792057497867</v>
      </c>
      <c r="CB81" s="3">
        <f>SUM(CB79:CB80)</f>
        <v>4309</v>
      </c>
      <c r="CC81" s="1">
        <f>IFERROR(CB81/CB$11,0)</f>
        <v>0.11581465355050261</v>
      </c>
      <c r="CD81" s="3">
        <f>SUM(CD79:CD80)</f>
        <v>4309</v>
      </c>
      <c r="CE81" s="1">
        <f>IFERROR(CD81/CD$11,0)</f>
        <v>0.11536813922356091</v>
      </c>
      <c r="CF81" s="3">
        <f>SUM(CF79:CF80)</f>
        <v>4309</v>
      </c>
      <c r="CG81" s="1">
        <f>IFERROR(CF81/CF$11,0)</f>
        <v>0.11274201988487703</v>
      </c>
      <c r="CH81" s="3">
        <f>SUM(CH79:CH80)</f>
        <v>4309</v>
      </c>
      <c r="CI81" s="1">
        <f>IFERROR(CH81/CH$11,0)</f>
        <v>0.11005823457294646</v>
      </c>
      <c r="CJ81" s="3">
        <f>SUM(CJ79:CJ80)</f>
        <v>4309</v>
      </c>
      <c r="CK81" s="1">
        <f>IFERROR(CJ81/CJ$11,0)</f>
        <v>0.10345738295318127</v>
      </c>
      <c r="CL81" s="3">
        <f>SUM(CL79:CL80)</f>
        <v>4309</v>
      </c>
      <c r="CM81" s="1">
        <f>IFERROR(CL81/CL$11,0)</f>
        <v>9.5587745957097542E-2</v>
      </c>
      <c r="CN81" s="3">
        <f>SUM(CN79:CN80)</f>
        <v>4309</v>
      </c>
      <c r="CO81" s="1">
        <f>IFERROR(CN81/CN$11,0)</f>
        <v>0.10450874342121219</v>
      </c>
      <c r="CP81" s="3">
        <f>SUM(CP79:CP80)</f>
        <v>4309</v>
      </c>
      <c r="CQ81" s="1">
        <f>IFERROR(CP81/CP$11,0)</f>
        <v>0.10880488851854657</v>
      </c>
      <c r="CR81" s="3">
        <f>SUM(CR79:CR80)</f>
        <v>4309</v>
      </c>
      <c r="CS81" s="1">
        <f>IFERROR(CR81/CR$11,0)</f>
        <v>0.13089705033567242</v>
      </c>
      <c r="CT81" s="3">
        <f>SUM(CT79:CT80)</f>
        <v>4309</v>
      </c>
      <c r="CU81" s="1">
        <f>IFERROR(CT81/CT$11,0)</f>
        <v>0.11275677090147848</v>
      </c>
      <c r="CV81" s="3">
        <f>SUM(CV79:CV80)</f>
        <v>4309</v>
      </c>
      <c r="CW81" s="1">
        <f>IFERROR(CV81/CV$11,0)</f>
        <v>0.11046452009844135</v>
      </c>
      <c r="CX81" s="3">
        <f>SUM(CX79:CX80)</f>
        <v>4309</v>
      </c>
      <c r="CY81" s="1">
        <f>IFERROR(CX81/CX$11,0)</f>
        <v>9.5575024952866808E-2</v>
      </c>
      <c r="CZ81" s="3">
        <f>SUM(CZ79:CZ80)</f>
        <v>4309</v>
      </c>
      <c r="DA81" s="1">
        <f>IFERROR(CZ81/CZ$11,0)</f>
        <v>9.3830977941336588E-2</v>
      </c>
      <c r="DB81" s="3">
        <f>SUM(DB79:DB80)</f>
        <v>4309</v>
      </c>
      <c r="DC81" s="1">
        <f>IFERROR(DB81/DB$11,0)</f>
        <v>9.2230308219178075E-2</v>
      </c>
      <c r="DD81" s="3">
        <f>SUM(OSRRefD79x_0)</f>
        <v>224068</v>
      </c>
      <c r="DE81" s="1">
        <f>IFERROR(DD81/DD$11,0)</f>
        <v>0.10019626247210224</v>
      </c>
      <c r="DF81" s="28"/>
    </row>
    <row r="82" spans="2:110" s="29" customFormat="1" outlineLevel="1" x14ac:dyDescent="0.25">
      <c r="D82" s="5"/>
      <c r="E82" s="2"/>
      <c r="F82" s="5"/>
      <c r="G82" s="2"/>
      <c r="H82" s="5"/>
      <c r="I82" s="2"/>
      <c r="J82" s="5"/>
      <c r="K82" s="2"/>
      <c r="L82" s="5"/>
      <c r="M82" s="2"/>
      <c r="N82" s="5"/>
      <c r="O82" s="2"/>
      <c r="P82" s="5"/>
      <c r="Q82" s="2"/>
      <c r="R82" s="5"/>
      <c r="S82" s="2"/>
      <c r="T82" s="5"/>
      <c r="U82" s="2"/>
      <c r="V82" s="5"/>
      <c r="W82" s="2"/>
      <c r="X82" s="5"/>
      <c r="Y82" s="2"/>
      <c r="Z82" s="5"/>
      <c r="AA82" s="2"/>
      <c r="AB82" s="5"/>
      <c r="AC82" s="2"/>
      <c r="AD82" s="5"/>
      <c r="AE82" s="2"/>
      <c r="AF82" s="5"/>
      <c r="AG82" s="2"/>
      <c r="AH82" s="5"/>
      <c r="AI82" s="2"/>
      <c r="AJ82" s="5"/>
      <c r="AK82" s="2"/>
      <c r="AL82" s="5"/>
      <c r="AM82" s="2"/>
      <c r="AN82" s="5"/>
      <c r="AO82" s="2"/>
      <c r="AP82" s="5"/>
      <c r="AQ82" s="2"/>
      <c r="AR82" s="5"/>
      <c r="AS82" s="2"/>
      <c r="AT82" s="5"/>
      <c r="AU82" s="2"/>
      <c r="AV82" s="5"/>
      <c r="AW82" s="2"/>
      <c r="AX82" s="5"/>
      <c r="AY82" s="2"/>
      <c r="AZ82" s="5"/>
      <c r="BA82" s="2"/>
      <c r="BB82" s="5"/>
      <c r="BC82" s="2"/>
      <c r="BD82" s="5"/>
      <c r="BE82" s="2"/>
      <c r="BF82" s="5"/>
      <c r="BG82" s="2"/>
      <c r="BH82" s="5"/>
      <c r="BI82" s="2"/>
      <c r="BJ82" s="5"/>
      <c r="BK82" s="2"/>
      <c r="BL82" s="5"/>
      <c r="BM82" s="2"/>
      <c r="BN82" s="5"/>
      <c r="BO82" s="2"/>
      <c r="BP82" s="5"/>
      <c r="BQ82" s="2"/>
      <c r="BR82" s="5"/>
      <c r="BS82" s="2"/>
      <c r="BT82" s="5"/>
      <c r="BU82" s="2"/>
      <c r="BV82" s="5"/>
      <c r="BW82" s="2"/>
      <c r="BX82" s="5"/>
      <c r="BY82" s="2"/>
      <c r="BZ82" s="5"/>
      <c r="CA82" s="2"/>
      <c r="CB82" s="5"/>
      <c r="CC82" s="2"/>
      <c r="CD82" s="5"/>
      <c r="CE82" s="2"/>
      <c r="CF82" s="5"/>
      <c r="CG82" s="2"/>
      <c r="CH82" s="5"/>
      <c r="CI82" s="2"/>
      <c r="CJ82" s="5"/>
      <c r="CK82" s="2"/>
      <c r="CL82" s="5"/>
      <c r="CM82" s="2"/>
      <c r="CN82" s="5"/>
      <c r="CO82" s="2"/>
      <c r="CP82" s="5"/>
      <c r="CQ82" s="2"/>
      <c r="CR82" s="5"/>
      <c r="CS82" s="2"/>
      <c r="CT82" s="5"/>
      <c r="CU82" s="2"/>
      <c r="CV82" s="5"/>
      <c r="CW82" s="2"/>
      <c r="CX82" s="5"/>
      <c r="CY82" s="2"/>
      <c r="CZ82" s="5"/>
      <c r="DA82" s="2"/>
      <c r="DB82" s="5"/>
      <c r="DC82" s="2"/>
      <c r="DD82" s="5"/>
      <c r="DE82" s="2"/>
      <c r="DF82" s="33"/>
    </row>
    <row r="83" spans="2:110" outlineLevel="1" x14ac:dyDescent="0.25">
      <c r="B83">
        <v>52200</v>
      </c>
      <c r="C83" t="s">
        <v>53</v>
      </c>
      <c r="D83" s="5">
        <f>IFERROR(2001,0)</f>
        <v>2001</v>
      </c>
      <c r="E83" s="4">
        <f>IFERROR(D83/D$11,0)</f>
        <v>5.2996795296236458E-2</v>
      </c>
      <c r="F83" s="5">
        <f>IFERROR(2006,0)</f>
        <v>2006</v>
      </c>
      <c r="G83" s="4">
        <f>IFERROR(F83/F$11,0)</f>
        <v>5.3002880016910191E-2</v>
      </c>
      <c r="H83" s="5">
        <f>IFERROR(1732,0)</f>
        <v>1732</v>
      </c>
      <c r="I83" s="4">
        <f>IFERROR(H83/H$11,0)</f>
        <v>5.3003641705174895E-2</v>
      </c>
      <c r="J83" s="5">
        <f>IFERROR(2024,0)</f>
        <v>2024</v>
      </c>
      <c r="K83" s="4">
        <f>IFERROR(J83/J$11,0)</f>
        <v>5.2994004136883724E-2</v>
      </c>
      <c r="L83" s="5">
        <f>IFERROR(2144,0)</f>
        <v>2144</v>
      </c>
      <c r="M83" s="4">
        <f>IFERROR(L83/L$11,0)</f>
        <v>5.2987988730166573E-2</v>
      </c>
      <c r="N83" s="5">
        <f>IFERROR(2128,0)</f>
        <v>2128</v>
      </c>
      <c r="O83" s="4">
        <f>IFERROR(N83/N$11,0)</f>
        <v>5.29906867871906E-2</v>
      </c>
      <c r="P83" s="5">
        <f>IFERROR(2940,0)</f>
        <v>2940</v>
      </c>
      <c r="Q83" s="4">
        <f>IFERROR(P83/P$11,0)</f>
        <v>5.2996845425867509E-2</v>
      </c>
      <c r="R83" s="5">
        <f>IFERROR(2912,0)</f>
        <v>2912</v>
      </c>
      <c r="S83" s="4">
        <f>IFERROR(R83/R$11,0)</f>
        <v>5.2998452998452995E-2</v>
      </c>
      <c r="T83" s="5">
        <f>IFERROR(2865,0)</f>
        <v>2865</v>
      </c>
      <c r="U83" s="4">
        <f>IFERROR(T83/T$11,0)</f>
        <v>5.3001572472481731E-2</v>
      </c>
      <c r="V83" s="5">
        <f>IFERROR(2960,0)</f>
        <v>2960</v>
      </c>
      <c r="W83" s="4">
        <f>IFERROR(V83/V$11,0)</f>
        <v>5.3003849941803204E-2</v>
      </c>
      <c r="X83" s="5">
        <f>IFERROR(2814,0)</f>
        <v>2814</v>
      </c>
      <c r="Y83" s="4">
        <f>IFERROR(X83/X$11,0)</f>
        <v>5.2992354336936463E-2</v>
      </c>
      <c r="Z83" s="5">
        <f>IFERROR(2679,0)</f>
        <v>2679</v>
      </c>
      <c r="AA83" s="4">
        <f>IFERROR(Z83/Z$11,0)</f>
        <v>5.2997032640949557E-2</v>
      </c>
      <c r="AB83" s="5">
        <f>IFERROR(2799,0)</f>
        <v>2799</v>
      </c>
      <c r="AC83" s="4">
        <f>IFERROR(AB83/AB$11,0)</f>
        <v>5.2999318336741652E-2</v>
      </c>
      <c r="AD83" s="5">
        <f>IFERROR(2545,0)</f>
        <v>2545</v>
      </c>
      <c r="AE83" s="4">
        <f>IFERROR(AD83/AD$11,0)</f>
        <v>5.2992129263315702E-2</v>
      </c>
      <c r="AF83" s="5">
        <f>IFERROR(2617,0)</f>
        <v>2617</v>
      </c>
      <c r="AG83" s="4">
        <f>IFERROR(AF83/AF$11,0)</f>
        <v>5.2999311434241969E-2</v>
      </c>
      <c r="AH83" s="5">
        <f>IFERROR(2130,0)</f>
        <v>2130</v>
      </c>
      <c r="AI83" s="4">
        <f>IFERROR(AH83/AH$11,0)</f>
        <v>5.2994302490483418E-2</v>
      </c>
      <c r="AJ83" s="5">
        <f>IFERROR(2551,0)</f>
        <v>2551</v>
      </c>
      <c r="AK83" s="4">
        <f>IFERROR(AJ83/AJ$11,0)</f>
        <v>5.299017469516628E-2</v>
      </c>
      <c r="AL83" s="5">
        <f>IFERROR(2380,0)</f>
        <v>2380</v>
      </c>
      <c r="AM83" s="4">
        <f>IFERROR(AL83/AL$11,0)</f>
        <v>5.2991338810589358E-2</v>
      </c>
      <c r="AN83" s="5">
        <f>IFERROR(2900,0)</f>
        <v>2900</v>
      </c>
      <c r="AO83" s="4">
        <f>IFERROR(AN83/AN$11,0)</f>
        <v>5.2992233896756509E-2</v>
      </c>
      <c r="AP83" s="5">
        <f>IFERROR(2609,0)</f>
        <v>2609</v>
      </c>
      <c r="AQ83" s="4">
        <f>IFERROR(AP83/AP$11,0)</f>
        <v>5.3001523616048755E-2</v>
      </c>
      <c r="AR83" s="5">
        <f>IFERROR(2695,0)</f>
        <v>2695</v>
      </c>
      <c r="AS83" s="4">
        <f>IFERROR(AR83/AR$11,0)</f>
        <v>5.299172188685923E-2</v>
      </c>
      <c r="AT83" s="5">
        <f>IFERROR(2553,0)</f>
        <v>2553</v>
      </c>
      <c r="AU83" s="4">
        <f>IFERROR(AT83/AT$11,0)</f>
        <v>5.2990991738967992E-2</v>
      </c>
      <c r="AV83" s="5">
        <f>IFERROR(2184,0)</f>
        <v>2184</v>
      </c>
      <c r="AW83" s="4">
        <f>IFERROR(AV83/AV$11,0)</f>
        <v>5.2995559438014123E-2</v>
      </c>
      <c r="AX83" s="5">
        <f>IFERROR(2727,0)</f>
        <v>2727</v>
      </c>
      <c r="AY83" s="4">
        <f>IFERROR(AX83/AX$11,0)</f>
        <v>5.2990556138509969E-2</v>
      </c>
      <c r="AZ83" s="5">
        <f>IFERROR(2205,0)</f>
        <v>2205</v>
      </c>
      <c r="BA83" s="4">
        <f>IFERROR(AZ83/AZ$11,0)</f>
        <v>5.3011179228272629E-2</v>
      </c>
      <c r="BB83" s="5">
        <f>IFERROR(2301,0)</f>
        <v>2301</v>
      </c>
      <c r="BC83" s="4">
        <f>IFERROR(BB83/BB$11,0)</f>
        <v>5.3007440853279277E-2</v>
      </c>
      <c r="BD83" s="5">
        <f>IFERROR(2115,0)</f>
        <v>2115</v>
      </c>
      <c r="BE83" s="4">
        <f>IFERROR(BD83/BD$11,0)</f>
        <v>5.2998220863507653E-2</v>
      </c>
      <c r="BF83" s="5">
        <f>IFERROR(2064,0)</f>
        <v>2064</v>
      </c>
      <c r="BG83" s="4">
        <f>IFERROR(BF83/BF$11,0)</f>
        <v>5.2989653667428305E-2</v>
      </c>
      <c r="BH83" s="5">
        <f>IFERROR(1999,0)</f>
        <v>1999</v>
      </c>
      <c r="BI83" s="4">
        <f>IFERROR(BH83/BH$11,0)</f>
        <v>5.300700042426814E-2</v>
      </c>
      <c r="BJ83" s="5">
        <f>IFERROR(2050,0)</f>
        <v>2050</v>
      </c>
      <c r="BK83" s="4">
        <f>IFERROR(BJ83/BJ$11,0)</f>
        <v>5.29921158071604E-2</v>
      </c>
      <c r="BL83" s="5">
        <f>IFERROR(2266,0)</f>
        <v>2266</v>
      </c>
      <c r="BM83" s="4">
        <f>IFERROR(BL83/BL$11,0)</f>
        <v>5.298973411594135E-2</v>
      </c>
      <c r="BN83" s="5">
        <f>IFERROR(2124,0)</f>
        <v>2124</v>
      </c>
      <c r="BO83" s="4">
        <f>IFERROR(BN83/BN$11,0)</f>
        <v>5.3008560233597048E-2</v>
      </c>
      <c r="BP83" s="5">
        <f>IFERROR(1879,0)</f>
        <v>1879</v>
      </c>
      <c r="BQ83" s="4">
        <f>IFERROR(BP83/BP$11,0)</f>
        <v>5.2998251255147517E-2</v>
      </c>
      <c r="BR83" s="5">
        <f>IFERROR(1758,0)</f>
        <v>1758</v>
      </c>
      <c r="BS83" s="4">
        <f>IFERROR(BR83/BR$11,0)</f>
        <v>5.2985322041050061E-2</v>
      </c>
      <c r="BT83" s="5">
        <f>IFERROR(2261,0)</f>
        <v>2261</v>
      </c>
      <c r="BU83" s="4">
        <f>IFERROR(BT83/BT$11,0)</f>
        <v>5.2994257588187037E-2</v>
      </c>
      <c r="BV83" s="5">
        <f>IFERROR(1815,0)</f>
        <v>1815</v>
      </c>
      <c r="BW83" s="4">
        <f>IFERROR(BV83/BV$11,0)</f>
        <v>5.3008177570093455E-2</v>
      </c>
      <c r="BX83" s="5">
        <f>IFERROR(1976,0)</f>
        <v>1976</v>
      </c>
      <c r="BY83" s="4">
        <f>IFERROR(BX83/BX$11,0)</f>
        <v>5.3007135575942915E-2</v>
      </c>
      <c r="BZ83" s="5">
        <f>IFERROR(1740,0)</f>
        <v>1740</v>
      </c>
      <c r="CA83" s="4">
        <f>IFERROR(BZ83/BZ$11,0)</f>
        <v>5.299062005116336E-2</v>
      </c>
      <c r="CB83" s="5">
        <f>IFERROR(1972,0)</f>
        <v>1972</v>
      </c>
      <c r="CC83" s="4">
        <f>IFERROR(CB83/CB$11,0)</f>
        <v>5.3002203945600172E-2</v>
      </c>
      <c r="CD83" s="5">
        <f>IFERROR(1980,0)</f>
        <v>1980</v>
      </c>
      <c r="CE83" s="4">
        <f>IFERROR(CD83/CD$11,0)</f>
        <v>5.3012048192771083E-2</v>
      </c>
      <c r="CF83" s="5">
        <f>IFERROR(2026,0)</f>
        <v>2026</v>
      </c>
      <c r="CG83" s="4">
        <f>IFERROR(CF83/CF$11,0)</f>
        <v>5.300889586603872E-2</v>
      </c>
      <c r="CH83" s="5">
        <f>IFERROR(2075,0)</f>
        <v>2075</v>
      </c>
      <c r="CI83" s="4">
        <f>IFERROR(CH83/CH$11,0)</f>
        <v>5.2998569677155702E-2</v>
      </c>
      <c r="CJ83" s="5">
        <f>IFERROR(2207,0)</f>
        <v>2207</v>
      </c>
      <c r="CK83" s="4">
        <f>IFERROR(CJ83/CJ$11,0)</f>
        <v>5.298919567827131E-2</v>
      </c>
      <c r="CL83" s="5">
        <f>IFERROR(2389,0)</f>
        <v>2389</v>
      </c>
      <c r="CM83" s="4">
        <f>IFERROR(CL83/CL$11,0)</f>
        <v>5.2995851726968211E-2</v>
      </c>
      <c r="CN83" s="5">
        <f>IFERROR(2185,0)</f>
        <v>2185</v>
      </c>
      <c r="CO83" s="4">
        <f>IFERROR(CN83/CN$11,0)</f>
        <v>5.2994106376270285E-2</v>
      </c>
      <c r="CP83" s="5">
        <f>IFERROR(2099,0)</f>
        <v>2099</v>
      </c>
      <c r="CQ83" s="4">
        <f>IFERROR(CP83/CP$11,0)</f>
        <v>5.300103527510542E-2</v>
      </c>
      <c r="CR83" s="5">
        <f>IFERROR(1745,0)</f>
        <v>1745</v>
      </c>
      <c r="CS83" s="4">
        <f>IFERROR(CR83/CR$11,0)</f>
        <v>5.3008900634891706E-2</v>
      </c>
      <c r="CT83" s="5">
        <f>IFERROR(2025,0)</f>
        <v>2025</v>
      </c>
      <c r="CU83" s="4">
        <f>IFERROR(CT83/CT$11,0)</f>
        <v>5.2989663744602906E-2</v>
      </c>
      <c r="CV83" s="5">
        <f>IFERROR(2067,0)</f>
        <v>2067</v>
      </c>
      <c r="CW83" s="4">
        <f>IFERROR(CV83/CV$11,0)</f>
        <v>5.2989130434782608E-2</v>
      </c>
      <c r="CX83" s="5">
        <f>IFERROR(2390,0)</f>
        <v>2390</v>
      </c>
      <c r="CY83" s="4">
        <f>IFERROR(CX83/CX$11,0)</f>
        <v>5.3010979261395141E-2</v>
      </c>
      <c r="CZ83" s="5">
        <f>IFERROR(2434,0)</f>
        <v>2434</v>
      </c>
      <c r="DA83" s="4">
        <f>IFERROR(CZ83/CZ$11,0)</f>
        <v>5.3001763822049956E-2</v>
      </c>
      <c r="DB83" s="5">
        <f>IFERROR(2476,0)</f>
        <v>2476</v>
      </c>
      <c r="DC83" s="4">
        <f>IFERROR(DB83/DB$11,0)</f>
        <v>5.2996575342465754E-2</v>
      </c>
      <c r="DD83" s="5">
        <f>SUM(OSRRefD81_0x_0)</f>
        <v>118518</v>
      </c>
      <c r="DE83" s="4">
        <f>IFERROR(DD83/DD$11,0)</f>
        <v>5.2997575002537683E-2</v>
      </c>
      <c r="DF83" s="28"/>
    </row>
    <row r="84" spans="2:110" ht="7.5" customHeight="1" x14ac:dyDescent="0.25">
      <c r="D84" s="5"/>
      <c r="E84" s="2"/>
      <c r="F84" s="5"/>
      <c r="G84" s="2"/>
      <c r="H84" s="5"/>
      <c r="I84" s="2"/>
      <c r="J84" s="5"/>
      <c r="K84" s="2"/>
      <c r="L84" s="5"/>
      <c r="M84" s="2"/>
      <c r="N84" s="5"/>
      <c r="O84" s="2"/>
      <c r="P84" s="5"/>
      <c r="Q84" s="2"/>
      <c r="R84" s="5"/>
      <c r="S84" s="2"/>
      <c r="T84" s="5"/>
      <c r="U84" s="2"/>
      <c r="V84" s="5"/>
      <c r="W84" s="2"/>
      <c r="X84" s="5"/>
      <c r="Y84" s="2"/>
      <c r="Z84" s="5"/>
      <c r="AA84" s="2"/>
      <c r="AB84" s="5"/>
      <c r="AC84" s="2"/>
      <c r="AD84" s="5"/>
      <c r="AE84" s="2"/>
      <c r="AF84" s="5"/>
      <c r="AG84" s="2"/>
      <c r="AH84" s="5"/>
      <c r="AI84" s="2"/>
      <c r="AJ84" s="5"/>
      <c r="AK84" s="2"/>
      <c r="AL84" s="5"/>
      <c r="AM84" s="2"/>
      <c r="AN84" s="5"/>
      <c r="AO84" s="2"/>
      <c r="AP84" s="5"/>
      <c r="AQ84" s="2"/>
      <c r="AR84" s="5"/>
      <c r="AS84" s="2"/>
      <c r="AT84" s="5"/>
      <c r="AU84" s="2"/>
      <c r="AV84" s="5"/>
      <c r="AW84" s="2"/>
      <c r="AX84" s="5"/>
      <c r="AY84" s="2"/>
      <c r="AZ84" s="5"/>
      <c r="BA84" s="2"/>
      <c r="BB84" s="5"/>
      <c r="BC84" s="2"/>
      <c r="BD84" s="5"/>
      <c r="BE84" s="2"/>
      <c r="BF84" s="5"/>
      <c r="BG84" s="2"/>
      <c r="BH84" s="5"/>
      <c r="BI84" s="2"/>
      <c r="BJ84" s="5"/>
      <c r="BK84" s="2"/>
      <c r="BL84" s="5"/>
      <c r="BM84" s="2"/>
      <c r="BN84" s="5"/>
      <c r="BO84" s="2"/>
      <c r="BP84" s="5"/>
      <c r="BQ84" s="2"/>
      <c r="BR84" s="5"/>
      <c r="BS84" s="2"/>
      <c r="BT84" s="5"/>
      <c r="BU84" s="2"/>
      <c r="BV84" s="5"/>
      <c r="BW84" s="2"/>
      <c r="BX84" s="5"/>
      <c r="BY84" s="2"/>
      <c r="BZ84" s="5"/>
      <c r="CA84" s="2"/>
      <c r="CB84" s="5"/>
      <c r="CC84" s="2"/>
      <c r="CD84" s="5"/>
      <c r="CE84" s="2"/>
      <c r="CF84" s="5"/>
      <c r="CG84" s="2"/>
      <c r="CH84" s="5"/>
      <c r="CI84" s="2"/>
      <c r="CJ84" s="5"/>
      <c r="CK84" s="2"/>
      <c r="CL84" s="5"/>
      <c r="CM84" s="2"/>
      <c r="CN84" s="5"/>
      <c r="CO84" s="2"/>
      <c r="CP84" s="5"/>
      <c r="CQ84" s="2"/>
      <c r="CR84" s="5"/>
      <c r="CS84" s="2"/>
      <c r="CT84" s="5"/>
      <c r="CU84" s="2"/>
      <c r="CV84" s="5"/>
      <c r="CW84" s="2"/>
      <c r="CX84" s="5"/>
      <c r="CY84" s="2"/>
      <c r="CZ84" s="5"/>
      <c r="DA84" s="2"/>
      <c r="DB84" s="5"/>
      <c r="DC84" s="2"/>
      <c r="DD84" s="5"/>
      <c r="DE84" s="2"/>
      <c r="DF84" s="28"/>
    </row>
    <row r="85" spans="2:110" x14ac:dyDescent="0.25">
      <c r="B85" s="30"/>
      <c r="C85" s="31" t="s">
        <v>10</v>
      </c>
      <c r="D85" s="3">
        <f>SUM(D83:D84)</f>
        <v>2001</v>
      </c>
      <c r="E85" s="1">
        <f>IFERROR(D85/D$11,0)</f>
        <v>5.2996795296236458E-2</v>
      </c>
      <c r="F85" s="3">
        <f>SUM(F83:F84)</f>
        <v>2006</v>
      </c>
      <c r="G85" s="1">
        <f>IFERROR(F85/F$11,0)</f>
        <v>5.3002880016910191E-2</v>
      </c>
      <c r="H85" s="3">
        <f>SUM(H83:H84)</f>
        <v>1732</v>
      </c>
      <c r="I85" s="1">
        <f>IFERROR(H85/H$11,0)</f>
        <v>5.3003641705174895E-2</v>
      </c>
      <c r="J85" s="3">
        <f>SUM(J83:J84)</f>
        <v>2024</v>
      </c>
      <c r="K85" s="1">
        <f>IFERROR(J85/J$11,0)</f>
        <v>5.2994004136883724E-2</v>
      </c>
      <c r="L85" s="3">
        <f>SUM(L83:L84)</f>
        <v>2144</v>
      </c>
      <c r="M85" s="1">
        <f>IFERROR(L85/L$11,0)</f>
        <v>5.2987988730166573E-2</v>
      </c>
      <c r="N85" s="3">
        <f>SUM(N83:N84)</f>
        <v>2128</v>
      </c>
      <c r="O85" s="1">
        <f>IFERROR(N85/N$11,0)</f>
        <v>5.29906867871906E-2</v>
      </c>
      <c r="P85" s="3">
        <f>SUM(P83:P84)</f>
        <v>2940</v>
      </c>
      <c r="Q85" s="1">
        <f>IFERROR(P85/P$11,0)</f>
        <v>5.2996845425867509E-2</v>
      </c>
      <c r="R85" s="3">
        <f>SUM(R83:R84)</f>
        <v>2912</v>
      </c>
      <c r="S85" s="1">
        <f>IFERROR(R85/R$11,0)</f>
        <v>5.2998452998452995E-2</v>
      </c>
      <c r="T85" s="3">
        <f>SUM(T83:T84)</f>
        <v>2865</v>
      </c>
      <c r="U85" s="1">
        <f>IFERROR(T85/T$11,0)</f>
        <v>5.3001572472481731E-2</v>
      </c>
      <c r="V85" s="3">
        <f>SUM(V83:V84)</f>
        <v>2960</v>
      </c>
      <c r="W85" s="1">
        <f>IFERROR(V85/V$11,0)</f>
        <v>5.3003849941803204E-2</v>
      </c>
      <c r="X85" s="3">
        <f>SUM(X83:X84)</f>
        <v>2814</v>
      </c>
      <c r="Y85" s="1">
        <f>IFERROR(X85/X$11,0)</f>
        <v>5.2992354336936463E-2</v>
      </c>
      <c r="Z85" s="3">
        <f>SUM(Z83:Z84)</f>
        <v>2679</v>
      </c>
      <c r="AA85" s="1">
        <f>IFERROR(Z85/Z$11,0)</f>
        <v>5.2997032640949557E-2</v>
      </c>
      <c r="AB85" s="3">
        <f>SUM(AB83:AB84)</f>
        <v>2799</v>
      </c>
      <c r="AC85" s="1">
        <f>IFERROR(AB85/AB$11,0)</f>
        <v>5.2999318336741652E-2</v>
      </c>
      <c r="AD85" s="3">
        <f>SUM(AD83:AD84)</f>
        <v>2545</v>
      </c>
      <c r="AE85" s="1">
        <f>IFERROR(AD85/AD$11,0)</f>
        <v>5.2992129263315702E-2</v>
      </c>
      <c r="AF85" s="3">
        <f>SUM(AF83:AF84)</f>
        <v>2617</v>
      </c>
      <c r="AG85" s="1">
        <f>IFERROR(AF85/AF$11,0)</f>
        <v>5.2999311434241969E-2</v>
      </c>
      <c r="AH85" s="3">
        <f>SUM(AH83:AH84)</f>
        <v>2130</v>
      </c>
      <c r="AI85" s="1">
        <f>IFERROR(AH85/AH$11,0)</f>
        <v>5.2994302490483418E-2</v>
      </c>
      <c r="AJ85" s="3">
        <f>SUM(AJ83:AJ84)</f>
        <v>2551</v>
      </c>
      <c r="AK85" s="1">
        <f>IFERROR(AJ85/AJ$11,0)</f>
        <v>5.299017469516628E-2</v>
      </c>
      <c r="AL85" s="3">
        <f>SUM(AL83:AL84)</f>
        <v>2380</v>
      </c>
      <c r="AM85" s="1">
        <f>IFERROR(AL85/AL$11,0)</f>
        <v>5.2991338810589358E-2</v>
      </c>
      <c r="AN85" s="3">
        <f>SUM(AN83:AN84)</f>
        <v>2900</v>
      </c>
      <c r="AO85" s="1">
        <f>IFERROR(AN85/AN$11,0)</f>
        <v>5.2992233896756509E-2</v>
      </c>
      <c r="AP85" s="3">
        <f>SUM(AP83:AP84)</f>
        <v>2609</v>
      </c>
      <c r="AQ85" s="1">
        <f>IFERROR(AP85/AP$11,0)</f>
        <v>5.3001523616048755E-2</v>
      </c>
      <c r="AR85" s="3">
        <f>SUM(AR83:AR84)</f>
        <v>2695</v>
      </c>
      <c r="AS85" s="1">
        <f>IFERROR(AR85/AR$11,0)</f>
        <v>5.299172188685923E-2</v>
      </c>
      <c r="AT85" s="3">
        <f>SUM(AT83:AT84)</f>
        <v>2553</v>
      </c>
      <c r="AU85" s="1">
        <f>IFERROR(AT85/AT$11,0)</f>
        <v>5.2990991738967992E-2</v>
      </c>
      <c r="AV85" s="3">
        <f>SUM(AV83:AV84)</f>
        <v>2184</v>
      </c>
      <c r="AW85" s="1">
        <f>IFERROR(AV85/AV$11,0)</f>
        <v>5.2995559438014123E-2</v>
      </c>
      <c r="AX85" s="3">
        <f>SUM(AX83:AX84)</f>
        <v>2727</v>
      </c>
      <c r="AY85" s="1">
        <f>IFERROR(AX85/AX$11,0)</f>
        <v>5.2990556138509969E-2</v>
      </c>
      <c r="AZ85" s="3">
        <f>SUM(AZ83:AZ84)</f>
        <v>2205</v>
      </c>
      <c r="BA85" s="1">
        <f>IFERROR(AZ85/AZ$11,0)</f>
        <v>5.3011179228272629E-2</v>
      </c>
      <c r="BB85" s="3">
        <f>SUM(BB83:BB84)</f>
        <v>2301</v>
      </c>
      <c r="BC85" s="1">
        <f>IFERROR(BB85/BB$11,0)</f>
        <v>5.3007440853279277E-2</v>
      </c>
      <c r="BD85" s="3">
        <f>SUM(BD83:BD84)</f>
        <v>2115</v>
      </c>
      <c r="BE85" s="1">
        <f>IFERROR(BD85/BD$11,0)</f>
        <v>5.2998220863507653E-2</v>
      </c>
      <c r="BF85" s="3">
        <f>SUM(BF83:BF84)</f>
        <v>2064</v>
      </c>
      <c r="BG85" s="1">
        <f>IFERROR(BF85/BF$11,0)</f>
        <v>5.2989653667428305E-2</v>
      </c>
      <c r="BH85" s="3">
        <f>SUM(BH83:BH84)</f>
        <v>1999</v>
      </c>
      <c r="BI85" s="1">
        <f>IFERROR(BH85/BH$11,0)</f>
        <v>5.300700042426814E-2</v>
      </c>
      <c r="BJ85" s="3">
        <f>SUM(BJ83:BJ84)</f>
        <v>2050</v>
      </c>
      <c r="BK85" s="1">
        <f>IFERROR(BJ85/BJ$11,0)</f>
        <v>5.29921158071604E-2</v>
      </c>
      <c r="BL85" s="3">
        <f>SUM(BL83:BL84)</f>
        <v>2266</v>
      </c>
      <c r="BM85" s="1">
        <f>IFERROR(BL85/BL$11,0)</f>
        <v>5.298973411594135E-2</v>
      </c>
      <c r="BN85" s="3">
        <f>SUM(BN83:BN84)</f>
        <v>2124</v>
      </c>
      <c r="BO85" s="1">
        <f>IFERROR(BN85/BN$11,0)</f>
        <v>5.3008560233597048E-2</v>
      </c>
      <c r="BP85" s="3">
        <f>SUM(BP83:BP84)</f>
        <v>1879</v>
      </c>
      <c r="BQ85" s="1">
        <f>IFERROR(BP85/BP$11,0)</f>
        <v>5.2998251255147517E-2</v>
      </c>
      <c r="BR85" s="3">
        <f>SUM(BR83:BR84)</f>
        <v>1758</v>
      </c>
      <c r="BS85" s="1">
        <f>IFERROR(BR85/BR$11,0)</f>
        <v>5.2985322041050061E-2</v>
      </c>
      <c r="BT85" s="3">
        <f>SUM(BT83:BT84)</f>
        <v>2261</v>
      </c>
      <c r="BU85" s="1">
        <f>IFERROR(BT85/BT$11,0)</f>
        <v>5.2994257588187037E-2</v>
      </c>
      <c r="BV85" s="3">
        <f>SUM(BV83:BV84)</f>
        <v>1815</v>
      </c>
      <c r="BW85" s="1">
        <f>IFERROR(BV85/BV$11,0)</f>
        <v>5.3008177570093455E-2</v>
      </c>
      <c r="BX85" s="3">
        <f>SUM(BX83:BX84)</f>
        <v>1976</v>
      </c>
      <c r="BY85" s="1">
        <f>IFERROR(BX85/BX$11,0)</f>
        <v>5.3007135575942915E-2</v>
      </c>
      <c r="BZ85" s="3">
        <f>SUM(BZ83:BZ84)</f>
        <v>1740</v>
      </c>
      <c r="CA85" s="1">
        <f>IFERROR(BZ85/BZ$11,0)</f>
        <v>5.299062005116336E-2</v>
      </c>
      <c r="CB85" s="3">
        <f>SUM(CB83:CB84)</f>
        <v>1972</v>
      </c>
      <c r="CC85" s="1">
        <f>IFERROR(CB85/CB$11,0)</f>
        <v>5.3002203945600172E-2</v>
      </c>
      <c r="CD85" s="3">
        <f>SUM(CD83:CD84)</f>
        <v>1980</v>
      </c>
      <c r="CE85" s="1">
        <f>IFERROR(CD85/CD$11,0)</f>
        <v>5.3012048192771083E-2</v>
      </c>
      <c r="CF85" s="3">
        <f>SUM(CF83:CF84)</f>
        <v>2026</v>
      </c>
      <c r="CG85" s="1">
        <f>IFERROR(CF85/CF$11,0)</f>
        <v>5.300889586603872E-2</v>
      </c>
      <c r="CH85" s="3">
        <f>SUM(CH83:CH84)</f>
        <v>2075</v>
      </c>
      <c r="CI85" s="1">
        <f>IFERROR(CH85/CH$11,0)</f>
        <v>5.2998569677155702E-2</v>
      </c>
      <c r="CJ85" s="3">
        <f>SUM(CJ83:CJ84)</f>
        <v>2207</v>
      </c>
      <c r="CK85" s="1">
        <f>IFERROR(CJ85/CJ$11,0)</f>
        <v>5.298919567827131E-2</v>
      </c>
      <c r="CL85" s="3">
        <f>SUM(CL83:CL84)</f>
        <v>2389</v>
      </c>
      <c r="CM85" s="1">
        <f>IFERROR(CL85/CL$11,0)</f>
        <v>5.2995851726968211E-2</v>
      </c>
      <c r="CN85" s="3">
        <f>SUM(CN83:CN84)</f>
        <v>2185</v>
      </c>
      <c r="CO85" s="1">
        <f>IFERROR(CN85/CN$11,0)</f>
        <v>5.2994106376270285E-2</v>
      </c>
      <c r="CP85" s="3">
        <f>SUM(CP83:CP84)</f>
        <v>2099</v>
      </c>
      <c r="CQ85" s="1">
        <f>IFERROR(CP85/CP$11,0)</f>
        <v>5.300103527510542E-2</v>
      </c>
      <c r="CR85" s="3">
        <f>SUM(CR83:CR84)</f>
        <v>1745</v>
      </c>
      <c r="CS85" s="1">
        <f>IFERROR(CR85/CR$11,0)</f>
        <v>5.3008900634891706E-2</v>
      </c>
      <c r="CT85" s="3">
        <f>SUM(CT83:CT84)</f>
        <v>2025</v>
      </c>
      <c r="CU85" s="1">
        <f>IFERROR(CT85/CT$11,0)</f>
        <v>5.2989663744602906E-2</v>
      </c>
      <c r="CV85" s="3">
        <f>SUM(CV83:CV84)</f>
        <v>2067</v>
      </c>
      <c r="CW85" s="1">
        <f>IFERROR(CV85/CV$11,0)</f>
        <v>5.2989130434782608E-2</v>
      </c>
      <c r="CX85" s="3">
        <f>SUM(CX83:CX84)</f>
        <v>2390</v>
      </c>
      <c r="CY85" s="1">
        <f>IFERROR(CX85/CX$11,0)</f>
        <v>5.3010979261395141E-2</v>
      </c>
      <c r="CZ85" s="3">
        <f>SUM(CZ83:CZ84)</f>
        <v>2434</v>
      </c>
      <c r="DA85" s="1">
        <f>IFERROR(CZ85/CZ$11,0)</f>
        <v>5.3001763822049956E-2</v>
      </c>
      <c r="DB85" s="3">
        <f>SUM(DB83:DB84)</f>
        <v>2476</v>
      </c>
      <c r="DC85" s="1">
        <f>IFERROR(DB85/DB$11,0)</f>
        <v>5.2996575342465754E-2</v>
      </c>
      <c r="DD85" s="3">
        <f>SUM(OSRRefD83x_0)</f>
        <v>118518</v>
      </c>
      <c r="DE85" s="1">
        <f>IFERROR(DD85/DD$11,0)</f>
        <v>5.2997575002537683E-2</v>
      </c>
      <c r="DF85" s="28"/>
    </row>
    <row r="86" spans="2:110" s="29" customFormat="1" outlineLevel="1" x14ac:dyDescent="0.25">
      <c r="B86" s="30"/>
      <c r="C86" s="37"/>
      <c r="D86" s="8"/>
      <c r="E86" s="16"/>
      <c r="F86" s="8"/>
      <c r="G86" s="16"/>
      <c r="H86" s="8"/>
      <c r="I86" s="16"/>
      <c r="J86" s="8"/>
      <c r="K86" s="16"/>
      <c r="L86" s="8"/>
      <c r="M86" s="16"/>
      <c r="N86" s="8"/>
      <c r="O86" s="16"/>
      <c r="P86" s="8"/>
      <c r="Q86" s="16"/>
      <c r="R86" s="8"/>
      <c r="S86" s="16"/>
      <c r="T86" s="8"/>
      <c r="U86" s="16"/>
      <c r="V86" s="8"/>
      <c r="W86" s="16"/>
      <c r="X86" s="8"/>
      <c r="Y86" s="16"/>
      <c r="Z86" s="8"/>
      <c r="AA86" s="16"/>
      <c r="AB86" s="8"/>
      <c r="AC86" s="16"/>
      <c r="AD86" s="8"/>
      <c r="AE86" s="16"/>
      <c r="AF86" s="8"/>
      <c r="AG86" s="16"/>
      <c r="AH86" s="8"/>
      <c r="AI86" s="16"/>
      <c r="AJ86" s="8"/>
      <c r="AK86" s="16"/>
      <c r="AL86" s="8"/>
      <c r="AM86" s="16"/>
      <c r="AN86" s="8"/>
      <c r="AO86" s="16"/>
      <c r="AP86" s="8"/>
      <c r="AQ86" s="16"/>
      <c r="AR86" s="8"/>
      <c r="AS86" s="16"/>
      <c r="AT86" s="8"/>
      <c r="AU86" s="16"/>
      <c r="AV86" s="8"/>
      <c r="AW86" s="16"/>
      <c r="AX86" s="8"/>
      <c r="AY86" s="16"/>
      <c r="AZ86" s="8"/>
      <c r="BA86" s="16"/>
      <c r="BB86" s="8"/>
      <c r="BC86" s="16"/>
      <c r="BD86" s="8"/>
      <c r="BE86" s="16"/>
      <c r="BF86" s="8"/>
      <c r="BG86" s="16"/>
      <c r="BH86" s="8"/>
      <c r="BI86" s="16"/>
      <c r="BJ86" s="8"/>
      <c r="BK86" s="16"/>
      <c r="BL86" s="8"/>
      <c r="BM86" s="16"/>
      <c r="BN86" s="8"/>
      <c r="BO86" s="16"/>
      <c r="BP86" s="8"/>
      <c r="BQ86" s="16"/>
      <c r="BR86" s="8"/>
      <c r="BS86" s="16"/>
      <c r="BT86" s="8"/>
      <c r="BU86" s="16"/>
      <c r="BV86" s="8"/>
      <c r="BW86" s="16"/>
      <c r="BX86" s="8"/>
      <c r="BY86" s="16"/>
      <c r="BZ86" s="8"/>
      <c r="CA86" s="16"/>
      <c r="CB86" s="8"/>
      <c r="CC86" s="16"/>
      <c r="CD86" s="8"/>
      <c r="CE86" s="16"/>
      <c r="CF86" s="8"/>
      <c r="CG86" s="16"/>
      <c r="CH86" s="8"/>
      <c r="CI86" s="16"/>
      <c r="CJ86" s="8"/>
      <c r="CK86" s="16"/>
      <c r="CL86" s="8"/>
      <c r="CM86" s="16"/>
      <c r="CN86" s="8"/>
      <c r="CO86" s="16"/>
      <c r="CP86" s="8"/>
      <c r="CQ86" s="16"/>
      <c r="CR86" s="8"/>
      <c r="CS86" s="16"/>
      <c r="CT86" s="8"/>
      <c r="CU86" s="16"/>
      <c r="CV86" s="8"/>
      <c r="CW86" s="16"/>
      <c r="CX86" s="8"/>
      <c r="CY86" s="16"/>
      <c r="CZ86" s="8"/>
      <c r="DA86" s="16"/>
      <c r="DB86" s="8"/>
      <c r="DC86" s="16"/>
      <c r="DD86" s="8"/>
      <c r="DE86" s="16"/>
      <c r="DF86" s="33"/>
    </row>
    <row r="87" spans="2:110" outlineLevel="1" x14ac:dyDescent="0.25">
      <c r="B87">
        <v>52700</v>
      </c>
      <c r="C87" t="s">
        <v>54</v>
      </c>
      <c r="D87" s="5">
        <f>IFERROR(378,0)</f>
        <v>378</v>
      </c>
      <c r="E87" s="4">
        <f>IFERROR(D87/D$11,0)</f>
        <v>1.001138861668035E-2</v>
      </c>
      <c r="F87" s="5">
        <f>IFERROR(378,0)</f>
        <v>378</v>
      </c>
      <c r="G87" s="4">
        <f>IFERROR(F87/F$11,0)</f>
        <v>9.9875815784606446E-3</v>
      </c>
      <c r="H87" s="5">
        <f>IFERROR(327,0)</f>
        <v>327</v>
      </c>
      <c r="I87" s="4">
        <f>IFERROR(H87/H$11,0)</f>
        <v>1.0007038589833829E-2</v>
      </c>
      <c r="J87" s="5">
        <f>IFERROR(382,0)</f>
        <v>382</v>
      </c>
      <c r="K87" s="4">
        <f>IFERROR(J87/J$11,0)</f>
        <v>1.0001832796585761E-2</v>
      </c>
      <c r="L87" s="5">
        <f>IFERROR(405,0)</f>
        <v>405</v>
      </c>
      <c r="M87" s="4">
        <f>IFERROR(L87/L$11,0)</f>
        <v>1.0009391527853295E-2</v>
      </c>
      <c r="N87" s="5">
        <f>IFERROR(402,0)</f>
        <v>402</v>
      </c>
      <c r="O87" s="4">
        <f>IFERROR(N87/N$11,0)</f>
        <v>1.0010458688181682E-2</v>
      </c>
      <c r="P87" s="5">
        <f>IFERROR(555,0)</f>
        <v>555</v>
      </c>
      <c r="Q87" s="4">
        <f>IFERROR(P87/P$11,0)</f>
        <v>1.0004506534474988E-2</v>
      </c>
      <c r="R87" s="5">
        <f>IFERROR(549,0)</f>
        <v>549</v>
      </c>
      <c r="S87" s="4">
        <f>IFERROR(R87/R$11,0)</f>
        <v>9.9918099918099926E-3</v>
      </c>
      <c r="T87" s="5">
        <f>IFERROR(541,0)</f>
        <v>541</v>
      </c>
      <c r="U87" s="4">
        <f>IFERROR(T87/T$11,0)</f>
        <v>1.000832485431505E-2</v>
      </c>
      <c r="V87" s="5">
        <f>IFERROR(558,0)</f>
        <v>558</v>
      </c>
      <c r="W87" s="4">
        <f>IFERROR(V87/V$11,0)</f>
        <v>9.9919419822723614E-3</v>
      </c>
      <c r="X87" s="5">
        <f>IFERROR(531,0)</f>
        <v>531</v>
      </c>
      <c r="Y87" s="4">
        <f>IFERROR(X87/X$11,0)</f>
        <v>9.9996233663515507E-3</v>
      </c>
      <c r="Z87" s="5">
        <f>IFERROR(506,0)</f>
        <v>506</v>
      </c>
      <c r="AA87" s="4">
        <f>IFERROR(Z87/Z$11,0)</f>
        <v>1.0009891196834817E-2</v>
      </c>
      <c r="AB87" s="5">
        <f>IFERROR(528,0)</f>
        <v>528</v>
      </c>
      <c r="AC87" s="4">
        <f>IFERROR(AB87/AB$11,0)</f>
        <v>9.9977277891388321E-3</v>
      </c>
      <c r="AD87" s="5">
        <f>IFERROR(480,0)</f>
        <v>480</v>
      </c>
      <c r="AE87" s="4">
        <f>IFERROR(AD87/AD$11,0)</f>
        <v>9.9945862657727057E-3</v>
      </c>
      <c r="AF87" s="5">
        <f>IFERROR(494,0)</f>
        <v>494</v>
      </c>
      <c r="AG87" s="4">
        <f>IFERROR(AF87/AF$11,0)</f>
        <v>1.0004455425493134E-2</v>
      </c>
      <c r="AH87" s="5">
        <f>IFERROR(402,0)</f>
        <v>402</v>
      </c>
      <c r="AI87" s="4">
        <f>IFERROR(AH87/AH$11,0)</f>
        <v>1.0001741596795462E-2</v>
      </c>
      <c r="AJ87" s="5">
        <f>IFERROR(481,0)</f>
        <v>481</v>
      </c>
      <c r="AK87" s="4">
        <f>IFERROR(AJ87/AJ$11,0)</f>
        <v>9.9914833509898004E-3</v>
      </c>
      <c r="AL87" s="5">
        <f>IFERROR(449,0)</f>
        <v>449</v>
      </c>
      <c r="AM87" s="4">
        <f>IFERROR(AL87/AL$11,0)</f>
        <v>9.997105515106984E-3</v>
      </c>
      <c r="AN87" s="5">
        <f>IFERROR(547,0)</f>
        <v>547</v>
      </c>
      <c r="AO87" s="4">
        <f>IFERROR(AN87/AN$11,0)</f>
        <v>9.9954317039744178E-3</v>
      </c>
      <c r="AP87" s="5">
        <f>IFERROR(492,0)</f>
        <v>492</v>
      </c>
      <c r="AQ87" s="4">
        <f>IFERROR(AP87/AP$11,0)</f>
        <v>9.9949212798374817E-3</v>
      </c>
      <c r="AR87" s="5">
        <f>IFERROR(509,0)</f>
        <v>509</v>
      </c>
      <c r="AS87" s="4">
        <f>IFERROR(AR87/AR$11,0)</f>
        <v>1.000845507993E-2</v>
      </c>
      <c r="AT87" s="5">
        <f>IFERROR(482,0)</f>
        <v>482</v>
      </c>
      <c r="AU87" s="4">
        <f>IFERROR(AT87/AT$11,0)</f>
        <v>1.0004566399601478E-2</v>
      </c>
      <c r="AV87" s="5">
        <f>IFERROR(412,0)</f>
        <v>412</v>
      </c>
      <c r="AW87" s="4">
        <f>IFERROR(AV87/AV$11,0)</f>
        <v>9.9973308097352654E-3</v>
      </c>
      <c r="AX87" s="5">
        <f>IFERROR(515,0)</f>
        <v>515</v>
      </c>
      <c r="AY87" s="4">
        <f>IFERROR(AX87/AX$11,0)</f>
        <v>1.0007384089230889E-2</v>
      </c>
      <c r="AZ87" s="5">
        <f>IFERROR(416,0)</f>
        <v>416</v>
      </c>
      <c r="BA87" s="4">
        <f>IFERROR(AZ87/AZ$11,0)</f>
        <v>1.0001202067556197E-2</v>
      </c>
      <c r="BB87" s="5">
        <f>IFERROR(434,0)</f>
        <v>434</v>
      </c>
      <c r="BC87" s="4">
        <f>IFERROR(BB87/BB$11,0)</f>
        <v>9.9979266972286852E-3</v>
      </c>
      <c r="BD87" s="5">
        <f>IFERROR(399,0)</f>
        <v>399</v>
      </c>
      <c r="BE87" s="4">
        <f>IFERROR(BD87/BD$11,0)</f>
        <v>9.9982459217681108E-3</v>
      </c>
      <c r="BF87" s="5">
        <f>IFERROR(390,0)</f>
        <v>390</v>
      </c>
      <c r="BG87" s="4">
        <f>IFERROR(BF87/BF$11,0)</f>
        <v>1.0012579908089651E-2</v>
      </c>
      <c r="BH87" s="5">
        <f>IFERROR(377,0)</f>
        <v>377</v>
      </c>
      <c r="BI87" s="4">
        <f>IFERROR(BH87/BH$11,0)</f>
        <v>9.9968179889690281E-3</v>
      </c>
      <c r="BJ87" s="5">
        <f>IFERROR(387,0)</f>
        <v>387</v>
      </c>
      <c r="BK87" s="4">
        <f>IFERROR(BJ87/BJ$11,0)</f>
        <v>1.0003877471888328E-2</v>
      </c>
      <c r="BL87" s="5">
        <f>IFERROR(428,0)</f>
        <v>428</v>
      </c>
      <c r="BM87" s="4">
        <f>IFERROR(BL87/BL$11,0)</f>
        <v>1.0008652339639408E-2</v>
      </c>
      <c r="BN87" s="5">
        <f>IFERROR(401,0)</f>
        <v>401</v>
      </c>
      <c r="BO87" s="4">
        <f>IFERROR(BN87/BN$11,0)</f>
        <v>1.0007736654271382E-2</v>
      </c>
      <c r="BP87" s="5">
        <f>IFERROR(355,0)</f>
        <v>355</v>
      </c>
      <c r="BQ87" s="4">
        <f>IFERROR(BP87/BP$11,0)</f>
        <v>1.0012974558582953E-2</v>
      </c>
      <c r="BR87" s="5">
        <f>IFERROR(332,0)</f>
        <v>332</v>
      </c>
      <c r="BS87" s="4">
        <f>IFERROR(BR87/BR$11,0)</f>
        <v>1.0006329304680671E-2</v>
      </c>
      <c r="BT87" s="5">
        <f>IFERROR(427,0)</f>
        <v>427</v>
      </c>
      <c r="BU87" s="4">
        <f>IFERROR(BT87/BT$11,0)</f>
        <v>1.0008203445447087E-2</v>
      </c>
      <c r="BV87" s="5">
        <f>IFERROR(342,0)</f>
        <v>342</v>
      </c>
      <c r="BW87" s="4">
        <f>IFERROR(BV87/BV$11,0)</f>
        <v>9.9883177570093459E-3</v>
      </c>
      <c r="BX87" s="5">
        <f>IFERROR(373,0)</f>
        <v>373</v>
      </c>
      <c r="BY87" s="4">
        <f>IFERROR(BX87/BX$11,0)</f>
        <v>1.0005901604163314E-2</v>
      </c>
      <c r="BZ87" s="5">
        <f>IFERROR(328,0)</f>
        <v>328</v>
      </c>
      <c r="CA87" s="4">
        <f>IFERROR(BZ87/BZ$11,0)</f>
        <v>9.9890364234376909E-3</v>
      </c>
      <c r="CB87" s="5">
        <f>IFERROR(372,0)</f>
        <v>372</v>
      </c>
      <c r="CC87" s="4">
        <f>IFERROR(CB87/CB$11,0)</f>
        <v>9.9983873568779223E-3</v>
      </c>
      <c r="CD87" s="5">
        <f>IFERROR(374,0)</f>
        <v>374</v>
      </c>
      <c r="CE87" s="4">
        <f>IFERROR(CD87/CD$11,0)</f>
        <v>1.001338688085676E-2</v>
      </c>
      <c r="CF87" s="5">
        <f>IFERROR(382,0)</f>
        <v>382</v>
      </c>
      <c r="CG87" s="4">
        <f>IFERROR(CF87/CF$11,0)</f>
        <v>9.9947671376242799E-3</v>
      </c>
      <c r="CH87" s="5">
        <f>IFERROR(392,0)</f>
        <v>392</v>
      </c>
      <c r="CI87" s="4">
        <f>IFERROR(CH87/CH$11,0)</f>
        <v>1.0012259910093992E-2</v>
      </c>
      <c r="CJ87" s="5">
        <f>IFERROR(417,0)</f>
        <v>417</v>
      </c>
      <c r="CK87" s="4">
        <f>IFERROR(CJ87/CJ$11,0)</f>
        <v>1.0012004801920769E-2</v>
      </c>
      <c r="CL87" s="5">
        <f>IFERROR(451,0)</f>
        <v>451</v>
      </c>
      <c r="CM87" s="4">
        <f>IFERROR(CL87/CL$11,0)</f>
        <v>1.000465848843142E-2</v>
      </c>
      <c r="CN87" s="5">
        <f>IFERROR(412,0)</f>
        <v>412</v>
      </c>
      <c r="CO87" s="4">
        <f>IFERROR(CN87/CN$11,0)</f>
        <v>9.9924813853653812E-3</v>
      </c>
      <c r="CP87" s="5">
        <f>IFERROR(396,0)</f>
        <v>396</v>
      </c>
      <c r="CQ87" s="4">
        <f>IFERROR(CP87/CP$11,0)</f>
        <v>9.9992424816301804E-3</v>
      </c>
      <c r="CR87" s="5">
        <f>IFERROR(329,0)</f>
        <v>329</v>
      </c>
      <c r="CS87" s="4">
        <f>IFERROR(CR87/CR$11,0)</f>
        <v>9.9942282572374613E-3</v>
      </c>
      <c r="CT87" s="5">
        <f>IFERROR(382,0)</f>
        <v>382</v>
      </c>
      <c r="CU87" s="4">
        <f>IFERROR(CT87/CT$11,0)</f>
        <v>9.9960748397226219E-3</v>
      </c>
      <c r="CV87" s="5">
        <f>IFERROR(390,0)</f>
        <v>390</v>
      </c>
      <c r="CW87" s="4">
        <f>IFERROR(CV87/CV$11,0)</f>
        <v>9.9979491386382284E-3</v>
      </c>
      <c r="CX87" s="5">
        <f>IFERROR(451,0)</f>
        <v>451</v>
      </c>
      <c r="CY87" s="4">
        <f>IFERROR(CX87/CX$11,0)</f>
        <v>1.0003327048907619E-2</v>
      </c>
      <c r="CZ87" s="5">
        <f>IFERROR(459,0)</f>
        <v>459</v>
      </c>
      <c r="DA87" s="4">
        <f>IFERROR(CZ87/CZ$11,0)</f>
        <v>9.9949916164013674E-3</v>
      </c>
      <c r="DB87" s="5">
        <f>IFERROR(467,0)</f>
        <v>467</v>
      </c>
      <c r="DC87" s="4">
        <f>IFERROR(DB87/DB$11,0)</f>
        <v>9.9957191780821915E-3</v>
      </c>
      <c r="DD87" s="5">
        <f>SUM(OSRRefD85_0x_0)</f>
        <v>22366</v>
      </c>
      <c r="DE87" s="4">
        <f>IFERROR(DD87/DD$11,0)</f>
        <v>1.0001381752195936E-2</v>
      </c>
      <c r="DF87" s="28"/>
    </row>
    <row r="88" spans="2:110" ht="7.5" customHeight="1" x14ac:dyDescent="0.25">
      <c r="D88" s="5"/>
      <c r="E88" s="2"/>
      <c r="F88" s="5"/>
      <c r="G88" s="2"/>
      <c r="H88" s="5"/>
      <c r="I88" s="2"/>
      <c r="J88" s="5"/>
      <c r="K88" s="2"/>
      <c r="L88" s="5"/>
      <c r="M88" s="2"/>
      <c r="N88" s="5"/>
      <c r="O88" s="2"/>
      <c r="P88" s="5"/>
      <c r="Q88" s="2"/>
      <c r="R88" s="5"/>
      <c r="S88" s="2"/>
      <c r="T88" s="5"/>
      <c r="U88" s="2"/>
      <c r="V88" s="5"/>
      <c r="W88" s="2"/>
      <c r="X88" s="5"/>
      <c r="Y88" s="2"/>
      <c r="Z88" s="5"/>
      <c r="AA88" s="2"/>
      <c r="AB88" s="5"/>
      <c r="AC88" s="2"/>
      <c r="AD88" s="5"/>
      <c r="AE88" s="2"/>
      <c r="AF88" s="5"/>
      <c r="AG88" s="2"/>
      <c r="AH88" s="5"/>
      <c r="AI88" s="2"/>
      <c r="AJ88" s="5"/>
      <c r="AK88" s="2"/>
      <c r="AL88" s="5"/>
      <c r="AM88" s="2"/>
      <c r="AN88" s="5"/>
      <c r="AO88" s="2"/>
      <c r="AP88" s="5"/>
      <c r="AQ88" s="2"/>
      <c r="AR88" s="5"/>
      <c r="AS88" s="2"/>
      <c r="AT88" s="5"/>
      <c r="AU88" s="2"/>
      <c r="AV88" s="5"/>
      <c r="AW88" s="2"/>
      <c r="AX88" s="5"/>
      <c r="AY88" s="2"/>
      <c r="AZ88" s="5"/>
      <c r="BA88" s="2"/>
      <c r="BB88" s="5"/>
      <c r="BC88" s="2"/>
      <c r="BD88" s="5"/>
      <c r="BE88" s="2"/>
      <c r="BF88" s="5"/>
      <c r="BG88" s="2"/>
      <c r="BH88" s="5"/>
      <c r="BI88" s="2"/>
      <c r="BJ88" s="5"/>
      <c r="BK88" s="2"/>
      <c r="BL88" s="5"/>
      <c r="BM88" s="2"/>
      <c r="BN88" s="5"/>
      <c r="BO88" s="2"/>
      <c r="BP88" s="5"/>
      <c r="BQ88" s="2"/>
      <c r="BR88" s="5"/>
      <c r="BS88" s="2"/>
      <c r="BT88" s="5"/>
      <c r="BU88" s="2"/>
      <c r="BV88" s="5"/>
      <c r="BW88" s="2"/>
      <c r="BX88" s="5"/>
      <c r="BY88" s="2"/>
      <c r="BZ88" s="5"/>
      <c r="CA88" s="2"/>
      <c r="CB88" s="5"/>
      <c r="CC88" s="2"/>
      <c r="CD88" s="5"/>
      <c r="CE88" s="2"/>
      <c r="CF88" s="5"/>
      <c r="CG88" s="2"/>
      <c r="CH88" s="5"/>
      <c r="CI88" s="2"/>
      <c r="CJ88" s="5"/>
      <c r="CK88" s="2"/>
      <c r="CL88" s="5"/>
      <c r="CM88" s="2"/>
      <c r="CN88" s="5"/>
      <c r="CO88" s="2"/>
      <c r="CP88" s="5"/>
      <c r="CQ88" s="2"/>
      <c r="CR88" s="5"/>
      <c r="CS88" s="2"/>
      <c r="CT88" s="5"/>
      <c r="CU88" s="2"/>
      <c r="CV88" s="5"/>
      <c r="CW88" s="2"/>
      <c r="CX88" s="5"/>
      <c r="CY88" s="2"/>
      <c r="CZ88" s="5"/>
      <c r="DA88" s="2"/>
      <c r="DB88" s="5"/>
      <c r="DC88" s="2"/>
      <c r="DD88" s="5"/>
      <c r="DE88" s="2"/>
      <c r="DF88" s="28"/>
    </row>
    <row r="89" spans="2:110" x14ac:dyDescent="0.25">
      <c r="B89" s="30"/>
      <c r="C89" s="31" t="s">
        <v>17</v>
      </c>
      <c r="D89" s="3">
        <f>SUM(D87:D88)</f>
        <v>378</v>
      </c>
      <c r="E89" s="1">
        <f>IFERROR(D89/D$11,0)</f>
        <v>1.001138861668035E-2</v>
      </c>
      <c r="F89" s="3">
        <f>SUM(F87:F88)</f>
        <v>378</v>
      </c>
      <c r="G89" s="1">
        <f>IFERROR(F89/F$11,0)</f>
        <v>9.9875815784606446E-3</v>
      </c>
      <c r="H89" s="3">
        <f>SUM(H87:H88)</f>
        <v>327</v>
      </c>
      <c r="I89" s="1">
        <f>IFERROR(H89/H$11,0)</f>
        <v>1.0007038589833829E-2</v>
      </c>
      <c r="J89" s="3">
        <f>SUM(J87:J88)</f>
        <v>382</v>
      </c>
      <c r="K89" s="1">
        <f>IFERROR(J89/J$11,0)</f>
        <v>1.0001832796585761E-2</v>
      </c>
      <c r="L89" s="3">
        <f>SUM(L87:L88)</f>
        <v>405</v>
      </c>
      <c r="M89" s="1">
        <f>IFERROR(L89/L$11,0)</f>
        <v>1.0009391527853295E-2</v>
      </c>
      <c r="N89" s="3">
        <f>SUM(N87:N88)</f>
        <v>402</v>
      </c>
      <c r="O89" s="1">
        <f>IFERROR(N89/N$11,0)</f>
        <v>1.0010458688181682E-2</v>
      </c>
      <c r="P89" s="3">
        <f>SUM(P87:P88)</f>
        <v>555</v>
      </c>
      <c r="Q89" s="1">
        <f>IFERROR(P89/P$11,0)</f>
        <v>1.0004506534474988E-2</v>
      </c>
      <c r="R89" s="3">
        <f>SUM(R87:R88)</f>
        <v>549</v>
      </c>
      <c r="S89" s="1">
        <f>IFERROR(R89/R$11,0)</f>
        <v>9.9918099918099926E-3</v>
      </c>
      <c r="T89" s="3">
        <f>SUM(T87:T88)</f>
        <v>541</v>
      </c>
      <c r="U89" s="1">
        <f>IFERROR(T89/T$11,0)</f>
        <v>1.000832485431505E-2</v>
      </c>
      <c r="V89" s="3">
        <f>SUM(V87:V88)</f>
        <v>558</v>
      </c>
      <c r="W89" s="1">
        <f>IFERROR(V89/V$11,0)</f>
        <v>9.9919419822723614E-3</v>
      </c>
      <c r="X89" s="3">
        <f>SUM(X87:X88)</f>
        <v>531</v>
      </c>
      <c r="Y89" s="1">
        <f>IFERROR(X89/X$11,0)</f>
        <v>9.9996233663515507E-3</v>
      </c>
      <c r="Z89" s="3">
        <f>SUM(Z87:Z88)</f>
        <v>506</v>
      </c>
      <c r="AA89" s="1">
        <f>IFERROR(Z89/Z$11,0)</f>
        <v>1.0009891196834817E-2</v>
      </c>
      <c r="AB89" s="3">
        <f>SUM(AB87:AB88)</f>
        <v>528</v>
      </c>
      <c r="AC89" s="1">
        <f>IFERROR(AB89/AB$11,0)</f>
        <v>9.9977277891388321E-3</v>
      </c>
      <c r="AD89" s="3">
        <f>SUM(AD87:AD88)</f>
        <v>480</v>
      </c>
      <c r="AE89" s="1">
        <f>IFERROR(AD89/AD$11,0)</f>
        <v>9.9945862657727057E-3</v>
      </c>
      <c r="AF89" s="3">
        <f>SUM(AF87:AF88)</f>
        <v>494</v>
      </c>
      <c r="AG89" s="1">
        <f>IFERROR(AF89/AF$11,0)</f>
        <v>1.0004455425493134E-2</v>
      </c>
      <c r="AH89" s="3">
        <f>SUM(AH87:AH88)</f>
        <v>402</v>
      </c>
      <c r="AI89" s="1">
        <f>IFERROR(AH89/AH$11,0)</f>
        <v>1.0001741596795462E-2</v>
      </c>
      <c r="AJ89" s="3">
        <f>SUM(AJ87:AJ88)</f>
        <v>481</v>
      </c>
      <c r="AK89" s="1">
        <f>IFERROR(AJ89/AJ$11,0)</f>
        <v>9.9914833509898004E-3</v>
      </c>
      <c r="AL89" s="3">
        <f>SUM(AL87:AL88)</f>
        <v>449</v>
      </c>
      <c r="AM89" s="1">
        <f>IFERROR(AL89/AL$11,0)</f>
        <v>9.997105515106984E-3</v>
      </c>
      <c r="AN89" s="3">
        <f>SUM(AN87:AN88)</f>
        <v>547</v>
      </c>
      <c r="AO89" s="1">
        <f>IFERROR(AN89/AN$11,0)</f>
        <v>9.9954317039744178E-3</v>
      </c>
      <c r="AP89" s="3">
        <f>SUM(AP87:AP88)</f>
        <v>492</v>
      </c>
      <c r="AQ89" s="1">
        <f>IFERROR(AP89/AP$11,0)</f>
        <v>9.9949212798374817E-3</v>
      </c>
      <c r="AR89" s="3">
        <f>SUM(AR87:AR88)</f>
        <v>509</v>
      </c>
      <c r="AS89" s="1">
        <f>IFERROR(AR89/AR$11,0)</f>
        <v>1.000845507993E-2</v>
      </c>
      <c r="AT89" s="3">
        <f>SUM(AT87:AT88)</f>
        <v>482</v>
      </c>
      <c r="AU89" s="1">
        <f>IFERROR(AT89/AT$11,0)</f>
        <v>1.0004566399601478E-2</v>
      </c>
      <c r="AV89" s="3">
        <f>SUM(AV87:AV88)</f>
        <v>412</v>
      </c>
      <c r="AW89" s="1">
        <f>IFERROR(AV89/AV$11,0)</f>
        <v>9.9973308097352654E-3</v>
      </c>
      <c r="AX89" s="3">
        <f>SUM(AX87:AX88)</f>
        <v>515</v>
      </c>
      <c r="AY89" s="1">
        <f>IFERROR(AX89/AX$11,0)</f>
        <v>1.0007384089230889E-2</v>
      </c>
      <c r="AZ89" s="3">
        <f>SUM(AZ87:AZ88)</f>
        <v>416</v>
      </c>
      <c r="BA89" s="1">
        <f>IFERROR(AZ89/AZ$11,0)</f>
        <v>1.0001202067556197E-2</v>
      </c>
      <c r="BB89" s="3">
        <f>SUM(BB87:BB88)</f>
        <v>434</v>
      </c>
      <c r="BC89" s="1">
        <f>IFERROR(BB89/BB$11,0)</f>
        <v>9.9979266972286852E-3</v>
      </c>
      <c r="BD89" s="3">
        <f>SUM(BD87:BD88)</f>
        <v>399</v>
      </c>
      <c r="BE89" s="1">
        <f>IFERROR(BD89/BD$11,0)</f>
        <v>9.9982459217681108E-3</v>
      </c>
      <c r="BF89" s="3">
        <f>SUM(BF87:BF88)</f>
        <v>390</v>
      </c>
      <c r="BG89" s="1">
        <f>IFERROR(BF89/BF$11,0)</f>
        <v>1.0012579908089651E-2</v>
      </c>
      <c r="BH89" s="3">
        <f>SUM(BH87:BH88)</f>
        <v>377</v>
      </c>
      <c r="BI89" s="1">
        <f>IFERROR(BH89/BH$11,0)</f>
        <v>9.9968179889690281E-3</v>
      </c>
      <c r="BJ89" s="3">
        <f>SUM(BJ87:BJ88)</f>
        <v>387</v>
      </c>
      <c r="BK89" s="1">
        <f>IFERROR(BJ89/BJ$11,0)</f>
        <v>1.0003877471888328E-2</v>
      </c>
      <c r="BL89" s="3">
        <f>SUM(BL87:BL88)</f>
        <v>428</v>
      </c>
      <c r="BM89" s="1">
        <f>IFERROR(BL89/BL$11,0)</f>
        <v>1.0008652339639408E-2</v>
      </c>
      <c r="BN89" s="3">
        <f>SUM(BN87:BN88)</f>
        <v>401</v>
      </c>
      <c r="BO89" s="1">
        <f>IFERROR(BN89/BN$11,0)</f>
        <v>1.0007736654271382E-2</v>
      </c>
      <c r="BP89" s="3">
        <f>SUM(BP87:BP88)</f>
        <v>355</v>
      </c>
      <c r="BQ89" s="1">
        <f>IFERROR(BP89/BP$11,0)</f>
        <v>1.0012974558582953E-2</v>
      </c>
      <c r="BR89" s="3">
        <f>SUM(BR87:BR88)</f>
        <v>332</v>
      </c>
      <c r="BS89" s="1">
        <f>IFERROR(BR89/BR$11,0)</f>
        <v>1.0006329304680671E-2</v>
      </c>
      <c r="BT89" s="3">
        <f>SUM(BT87:BT88)</f>
        <v>427</v>
      </c>
      <c r="BU89" s="1">
        <f>IFERROR(BT89/BT$11,0)</f>
        <v>1.0008203445447087E-2</v>
      </c>
      <c r="BV89" s="3">
        <f>SUM(BV87:BV88)</f>
        <v>342</v>
      </c>
      <c r="BW89" s="1">
        <f>IFERROR(BV89/BV$11,0)</f>
        <v>9.9883177570093459E-3</v>
      </c>
      <c r="BX89" s="3">
        <f>SUM(BX87:BX88)</f>
        <v>373</v>
      </c>
      <c r="BY89" s="1">
        <f>IFERROR(BX89/BX$11,0)</f>
        <v>1.0005901604163314E-2</v>
      </c>
      <c r="BZ89" s="3">
        <f>SUM(BZ87:BZ88)</f>
        <v>328</v>
      </c>
      <c r="CA89" s="1">
        <f>IFERROR(BZ89/BZ$11,0)</f>
        <v>9.9890364234376909E-3</v>
      </c>
      <c r="CB89" s="3">
        <f>SUM(CB87:CB88)</f>
        <v>372</v>
      </c>
      <c r="CC89" s="1">
        <f>IFERROR(CB89/CB$11,0)</f>
        <v>9.9983873568779223E-3</v>
      </c>
      <c r="CD89" s="3">
        <f>SUM(CD87:CD88)</f>
        <v>374</v>
      </c>
      <c r="CE89" s="1">
        <f>IFERROR(CD89/CD$11,0)</f>
        <v>1.001338688085676E-2</v>
      </c>
      <c r="CF89" s="3">
        <f>SUM(CF87:CF88)</f>
        <v>382</v>
      </c>
      <c r="CG89" s="1">
        <f>IFERROR(CF89/CF$11,0)</f>
        <v>9.9947671376242799E-3</v>
      </c>
      <c r="CH89" s="3">
        <f>SUM(CH87:CH88)</f>
        <v>392</v>
      </c>
      <c r="CI89" s="1">
        <f>IFERROR(CH89/CH$11,0)</f>
        <v>1.0012259910093992E-2</v>
      </c>
      <c r="CJ89" s="3">
        <f>SUM(CJ87:CJ88)</f>
        <v>417</v>
      </c>
      <c r="CK89" s="1">
        <f>IFERROR(CJ89/CJ$11,0)</f>
        <v>1.0012004801920769E-2</v>
      </c>
      <c r="CL89" s="3">
        <f>SUM(CL87:CL88)</f>
        <v>451</v>
      </c>
      <c r="CM89" s="1">
        <f>IFERROR(CL89/CL$11,0)</f>
        <v>1.000465848843142E-2</v>
      </c>
      <c r="CN89" s="3">
        <f>SUM(CN87:CN88)</f>
        <v>412</v>
      </c>
      <c r="CO89" s="1">
        <f>IFERROR(CN89/CN$11,0)</f>
        <v>9.9924813853653812E-3</v>
      </c>
      <c r="CP89" s="3">
        <f>SUM(CP87:CP88)</f>
        <v>396</v>
      </c>
      <c r="CQ89" s="1">
        <f>IFERROR(CP89/CP$11,0)</f>
        <v>9.9992424816301804E-3</v>
      </c>
      <c r="CR89" s="3">
        <f>SUM(CR87:CR88)</f>
        <v>329</v>
      </c>
      <c r="CS89" s="1">
        <f>IFERROR(CR89/CR$11,0)</f>
        <v>9.9942282572374613E-3</v>
      </c>
      <c r="CT89" s="3">
        <f>SUM(CT87:CT88)</f>
        <v>382</v>
      </c>
      <c r="CU89" s="1">
        <f>IFERROR(CT89/CT$11,0)</f>
        <v>9.9960748397226219E-3</v>
      </c>
      <c r="CV89" s="3">
        <f>SUM(CV87:CV88)</f>
        <v>390</v>
      </c>
      <c r="CW89" s="1">
        <f>IFERROR(CV89/CV$11,0)</f>
        <v>9.9979491386382284E-3</v>
      </c>
      <c r="CX89" s="3">
        <f>SUM(CX87:CX88)</f>
        <v>451</v>
      </c>
      <c r="CY89" s="1">
        <f>IFERROR(CX89/CX$11,0)</f>
        <v>1.0003327048907619E-2</v>
      </c>
      <c r="CZ89" s="3">
        <f>SUM(CZ87:CZ88)</f>
        <v>459</v>
      </c>
      <c r="DA89" s="1">
        <f>IFERROR(CZ89/CZ$11,0)</f>
        <v>9.9949916164013674E-3</v>
      </c>
      <c r="DB89" s="3">
        <f>SUM(DB87:DB88)</f>
        <v>467</v>
      </c>
      <c r="DC89" s="1">
        <f>IFERROR(DB89/DB$11,0)</f>
        <v>9.9957191780821915E-3</v>
      </c>
      <c r="DD89" s="3">
        <f>SUM(OSRRefD87x_0)</f>
        <v>22366</v>
      </c>
      <c r="DE89" s="1">
        <f>IFERROR(DD89/DD$11,0)</f>
        <v>1.0001381752195936E-2</v>
      </c>
      <c r="DF89" s="28"/>
    </row>
    <row r="90" spans="2:110" s="29" customFormat="1" x14ac:dyDescent="0.25">
      <c r="D90" s="5"/>
      <c r="E90" s="2"/>
      <c r="F90" s="5"/>
      <c r="G90" s="2"/>
      <c r="H90" s="5"/>
      <c r="I90" s="2"/>
      <c r="J90" s="5"/>
      <c r="K90" s="2"/>
      <c r="L90" s="5"/>
      <c r="M90" s="2"/>
      <c r="N90" s="5"/>
      <c r="O90" s="2"/>
      <c r="P90" s="5"/>
      <c r="Q90" s="2"/>
      <c r="R90" s="5"/>
      <c r="S90" s="2"/>
      <c r="T90" s="5"/>
      <c r="U90" s="2"/>
      <c r="V90" s="5"/>
      <c r="W90" s="2"/>
      <c r="X90" s="5"/>
      <c r="Y90" s="2"/>
      <c r="Z90" s="5"/>
      <c r="AA90" s="2"/>
      <c r="AB90" s="5"/>
      <c r="AC90" s="2"/>
      <c r="AD90" s="5"/>
      <c r="AE90" s="2"/>
      <c r="AF90" s="5"/>
      <c r="AG90" s="2"/>
      <c r="AH90" s="5"/>
      <c r="AI90" s="2"/>
      <c r="AJ90" s="5"/>
      <c r="AK90" s="2"/>
      <c r="AL90" s="5"/>
      <c r="AM90" s="2"/>
      <c r="AN90" s="5"/>
      <c r="AO90" s="2"/>
      <c r="AP90" s="5"/>
      <c r="AQ90" s="2"/>
      <c r="AR90" s="5"/>
      <c r="AS90" s="2"/>
      <c r="AT90" s="5"/>
      <c r="AU90" s="2"/>
      <c r="AV90" s="5"/>
      <c r="AW90" s="2"/>
      <c r="AX90" s="5"/>
      <c r="AY90" s="2"/>
      <c r="AZ90" s="5"/>
      <c r="BA90" s="2"/>
      <c r="BB90" s="5"/>
      <c r="BC90" s="2"/>
      <c r="BD90" s="5"/>
      <c r="BE90" s="2"/>
      <c r="BF90" s="5"/>
      <c r="BG90" s="2"/>
      <c r="BH90" s="5"/>
      <c r="BI90" s="2"/>
      <c r="BJ90" s="5"/>
      <c r="BK90" s="2"/>
      <c r="BL90" s="5"/>
      <c r="BM90" s="2"/>
      <c r="BN90" s="5"/>
      <c r="BO90" s="2"/>
      <c r="BP90" s="5"/>
      <c r="BQ90" s="2"/>
      <c r="BR90" s="5"/>
      <c r="BS90" s="2"/>
      <c r="BT90" s="5"/>
      <c r="BU90" s="2"/>
      <c r="BV90" s="5"/>
      <c r="BW90" s="2"/>
      <c r="BX90" s="5"/>
      <c r="BY90" s="2"/>
      <c r="BZ90" s="5"/>
      <c r="CA90" s="2"/>
      <c r="CB90" s="5"/>
      <c r="CC90" s="2"/>
      <c r="CD90" s="5"/>
      <c r="CE90" s="2"/>
      <c r="CF90" s="5"/>
      <c r="CG90" s="2"/>
      <c r="CH90" s="5"/>
      <c r="CI90" s="2"/>
      <c r="CJ90" s="5"/>
      <c r="CK90" s="2"/>
      <c r="CL90" s="5"/>
      <c r="CM90" s="2"/>
      <c r="CN90" s="5"/>
      <c r="CO90" s="2"/>
      <c r="CP90" s="5"/>
      <c r="CQ90" s="2"/>
      <c r="CR90" s="5"/>
      <c r="CS90" s="2"/>
      <c r="CT90" s="5"/>
      <c r="CU90" s="2"/>
      <c r="CV90" s="5"/>
      <c r="CW90" s="2"/>
      <c r="CX90" s="5"/>
      <c r="CY90" s="2"/>
      <c r="CZ90" s="5"/>
      <c r="DA90" s="2"/>
      <c r="DB90" s="5"/>
      <c r="DC90" s="2"/>
      <c r="DD90" s="5"/>
      <c r="DE90" s="2"/>
      <c r="DF90" s="33"/>
    </row>
    <row r="91" spans="2:110" collapsed="1" x14ac:dyDescent="0.25">
      <c r="C91" s="34" t="s">
        <v>13</v>
      </c>
      <c r="D91" s="13">
        <f>SUM(D85,D77,D73,D68,D64,D89,D81)</f>
        <v>13876</v>
      </c>
      <c r="E91" s="12">
        <f>IFERROR(D91/D$11,0)</f>
        <v>0.36750801175940884</v>
      </c>
      <c r="F91" s="13">
        <f>SUM(F85,F77,F73,F68,F64,F89,F81)</f>
        <v>14109</v>
      </c>
      <c r="G91" s="12">
        <f>IFERROR(F91/F$11,0)</f>
        <v>0.37279044574206677</v>
      </c>
      <c r="H91" s="13">
        <f>SUM(H85,H77,H73,H68,H64,H89,H81)</f>
        <v>12607</v>
      </c>
      <c r="I91" s="12">
        <f>IFERROR(H91/H$11,0)</f>
        <v>0.38580653058726322</v>
      </c>
      <c r="J91" s="13">
        <f>SUM(J85,J77,J73,J68,J64,J89,J81)</f>
        <v>13674</v>
      </c>
      <c r="K91" s="12">
        <f>IFERROR(J91/J$11,0)</f>
        <v>0.35802372162438145</v>
      </c>
      <c r="L91" s="13">
        <f>SUM(L85,L77,L73,L68,L64,L89,L81)</f>
        <v>14222</v>
      </c>
      <c r="M91" s="12">
        <f>IFERROR(L91/L$11,0)</f>
        <v>0.35149028718303593</v>
      </c>
      <c r="N91" s="13">
        <f>SUM(N85,N77,N73,N68,N64,N89,N81)</f>
        <v>14187</v>
      </c>
      <c r="O91" s="12">
        <f>IFERROR(N91/N$11,0)</f>
        <v>0.35327954579411325</v>
      </c>
      <c r="P91" s="13">
        <f>SUM(P85,P77,P73,P68,P64,P89,P81)</f>
        <v>17283</v>
      </c>
      <c r="Q91" s="12">
        <f>IFERROR(P91/P$11,0)</f>
        <v>0.31154574132492113</v>
      </c>
      <c r="R91" s="13">
        <f>SUM(R85,R77,R73,R68,R64,R89,R81)</f>
        <v>17310</v>
      </c>
      <c r="S91" s="12">
        <f>IFERROR(R91/R$11,0)</f>
        <v>0.31504231504231506</v>
      </c>
      <c r="T91" s="13">
        <f>SUM(T85,T77,T73,T68,T64,T89,T81)</f>
        <v>17222</v>
      </c>
      <c r="U91" s="12">
        <f>IFERROR(T91/T$11,0)</f>
        <v>0.31860142447507167</v>
      </c>
      <c r="V91" s="13">
        <f>SUM(V85,V77,V73,V68,V64,V89,V81)</f>
        <v>17284</v>
      </c>
      <c r="W91" s="12">
        <f>IFERROR(V91/V$11,0)</f>
        <v>0.30949950756558331</v>
      </c>
      <c r="X91" s="13">
        <f>SUM(X85,X77,X73,X68,X64,X89,X81)</f>
        <v>16669</v>
      </c>
      <c r="Y91" s="12">
        <f>IFERROR(X91/X$11,0)</f>
        <v>0.31390531430077961</v>
      </c>
      <c r="Z91" s="13">
        <f>SUM(Z85,Z77,Z73,Z68,Z64,Z89,Z81)</f>
        <v>16224</v>
      </c>
      <c r="AA91" s="12">
        <f>IFERROR(Z91/Z$11,0)</f>
        <v>0.32094955489614241</v>
      </c>
      <c r="AB91" s="13">
        <f>SUM(AB85,AB77,AB73,AB68,AB64,AB89,AB81)</f>
        <v>16720</v>
      </c>
      <c r="AC91" s="12">
        <f>IFERROR(AB91/AB$11,0)</f>
        <v>0.3165947133227297</v>
      </c>
      <c r="AD91" s="13">
        <f>SUM(AD85,AD77,AD73,AD68,AD64,AD89,AD81)</f>
        <v>15688</v>
      </c>
      <c r="AE91" s="12">
        <f>IFERROR(AD91/AD$11,0)</f>
        <v>0.32665639445300459</v>
      </c>
      <c r="AF91" s="13">
        <f>SUM(AF85,AF77,AF73,AF68,AF64,AF89,AF81)</f>
        <v>16023</v>
      </c>
      <c r="AG91" s="12">
        <f>IFERROR(AF91/AF$11,0)</f>
        <v>0.3244967394386164</v>
      </c>
      <c r="AH91" s="13">
        <f>SUM(AH85,AH77,AH73,AH68,AH64,AH89,AH81)</f>
        <v>14316</v>
      </c>
      <c r="AI91" s="12">
        <f>IFERROR(AH91/AH$11,0)</f>
        <v>0.35618142462617869</v>
      </c>
      <c r="AJ91" s="13">
        <f>SUM(AJ85,AJ77,AJ73,AJ68,AJ64,AJ89,AJ81)</f>
        <v>15919</v>
      </c>
      <c r="AK91" s="12">
        <f>IFERROR(AJ91/AJ$11,0)</f>
        <v>0.33067447705697844</v>
      </c>
      <c r="AL91" s="13">
        <f>SUM(AL85,AL77,AL73,AL68,AL64,AL89,AL81)</f>
        <v>15319</v>
      </c>
      <c r="AM91" s="12">
        <f>IFERROR(AL91/AL$11,0)</f>
        <v>0.34108164673925145</v>
      </c>
      <c r="AN91" s="13">
        <f>SUM(AN85,AN77,AN73,AN68,AN64,AN89,AN81)</f>
        <v>17289</v>
      </c>
      <c r="AO91" s="12">
        <f>IFERROR(AN91/AN$11,0)</f>
        <v>0.31592507994518043</v>
      </c>
      <c r="AP91" s="13">
        <f>SUM(AP85,AP77,AP73,AP68,AP64,AP89,AP81)</f>
        <v>16213</v>
      </c>
      <c r="AQ91" s="12">
        <f>IFERROR(AP91/AP$11,0)</f>
        <v>0.32936515997968513</v>
      </c>
      <c r="AR91" s="13">
        <f>SUM(AR85,AR77,AR73,AR68,AR64,AR89,AR81)</f>
        <v>16508</v>
      </c>
      <c r="AS91" s="12">
        <f>IFERROR(AR91/AR$11,0)</f>
        <v>0.32459641740566686</v>
      </c>
      <c r="AT91" s="13">
        <f>SUM(AT85,AT77,AT73,AT68,AT64,AT89,AT81)</f>
        <v>15914</v>
      </c>
      <c r="AU91" s="12">
        <f>IFERROR(AT91/AT$11,0)</f>
        <v>0.33031674208144796</v>
      </c>
      <c r="AV91" s="13">
        <f>SUM(AV85,AV77,AV73,AV68,AV64,AV89,AV81)</f>
        <v>14476</v>
      </c>
      <c r="AW91" s="12">
        <f>IFERROR(AV91/AV$11,0)</f>
        <v>0.35126543883914491</v>
      </c>
      <c r="AX91" s="13">
        <f>SUM(AX85,AX77,AX73,AX68,AX64,AX89,AX81)</f>
        <v>16497</v>
      </c>
      <c r="AY91" s="12">
        <f>IFERROR(AX91/AX$11,0)</f>
        <v>0.32056663168940192</v>
      </c>
      <c r="AZ91" s="13">
        <f>SUM(AZ85,AZ77,AZ73,AZ68,AZ64,AZ89,AZ81)</f>
        <v>14450</v>
      </c>
      <c r="BA91" s="12">
        <f>IFERROR(AZ91/AZ$11,0)</f>
        <v>0.34739752374083421</v>
      </c>
      <c r="BB91" s="13">
        <f>SUM(BB85,BB77,BB73,BB68,BB64,BB89,BB81)</f>
        <v>14782</v>
      </c>
      <c r="BC91" s="12">
        <f>IFERROR(BB91/BB$11,0)</f>
        <v>0.34052846183971064</v>
      </c>
      <c r="BD91" s="13">
        <f>SUM(BD85,BD77,BD73,BD68,BD64,BD89,BD81)</f>
        <v>14217</v>
      </c>
      <c r="BE91" s="12">
        <f>IFERROR(BD91/BD$11,0)</f>
        <v>0.35625328889668478</v>
      </c>
      <c r="BF91" s="13">
        <f>SUM(BF85,BF77,BF73,BF68,BF64,BF89,BF81)</f>
        <v>13944</v>
      </c>
      <c r="BG91" s="12">
        <f>IFERROR(BF91/BF$11,0)</f>
        <v>0.35798824163692844</v>
      </c>
      <c r="BH91" s="13">
        <f>SUM(BH85,BH77,BH73,BH68,BH64,BH89,BH81)</f>
        <v>13804</v>
      </c>
      <c r="BI91" s="12">
        <f>IFERROR(BH91/BH$11,0)</f>
        <v>0.36603733559609675</v>
      </c>
      <c r="BJ91" s="13">
        <f>SUM(BJ85,BJ77,BJ73,BJ68,BJ64,BJ89,BJ81)</f>
        <v>13930</v>
      </c>
      <c r="BK91" s="12">
        <f>IFERROR(BJ91/BJ$11,0)</f>
        <v>0.36008788936280212</v>
      </c>
      <c r="BL91" s="13">
        <f>SUM(BL85,BL77,BL73,BL68,BL64,BL89,BL81)</f>
        <v>14841</v>
      </c>
      <c r="BM91" s="12">
        <f>IFERROR(BL91/BL$11,0)</f>
        <v>0.3470523583471693</v>
      </c>
      <c r="BN91" s="13">
        <f>SUM(BN85,BN77,BN73,BN68,BN64,BN89,BN81)</f>
        <v>14280</v>
      </c>
      <c r="BO91" s="12">
        <f>IFERROR(BN91/BN$11,0)</f>
        <v>0.35638523546881629</v>
      </c>
      <c r="BP91" s="13">
        <f>SUM(BP85,BP77,BP73,BP68,BP64,BP89,BP81)</f>
        <v>13324</v>
      </c>
      <c r="BQ91" s="12">
        <f>IFERROR(BP91/BP$11,0)</f>
        <v>0.37581090991143451</v>
      </c>
      <c r="BR91" s="13">
        <f>SUM(BR85,BR77,BR73,BR68,BR64,BR89,BR81)</f>
        <v>12762</v>
      </c>
      <c r="BS91" s="12">
        <f>IFERROR(BR91/BR$11,0)</f>
        <v>0.38464088730823714</v>
      </c>
      <c r="BT91" s="13">
        <f>SUM(BT85,BT77,BT73,BT68,BT64,BT89,BT81)</f>
        <v>14761</v>
      </c>
      <c r="BU91" s="12">
        <f>IFERROR(BT91/BT$11,0)</f>
        <v>0.3459744521270362</v>
      </c>
      <c r="BV91" s="13">
        <f>SUM(BV85,BV77,BV73,BV68,BV64,BV89,BV81)</f>
        <v>13094</v>
      </c>
      <c r="BW91" s="12">
        <f>IFERROR(BV91/BV$11,0)</f>
        <v>0.38241822429906541</v>
      </c>
      <c r="BX91" s="13">
        <f>SUM(BX85,BX77,BX73,BX68,BX64,BX89,BX81)</f>
        <v>13821</v>
      </c>
      <c r="BY91" s="12">
        <f>IFERROR(BX91/BX$11,0)</f>
        <v>0.37075486882343472</v>
      </c>
      <c r="BZ91" s="13">
        <f>SUM(BZ85,BZ77,BZ73,BZ68,BZ64,BZ89,BZ81)</f>
        <v>12995</v>
      </c>
      <c r="CA91" s="12">
        <f>IFERROR(BZ91/BZ$11,0)</f>
        <v>0.39575465952003896</v>
      </c>
      <c r="CB91" s="13">
        <f>SUM(CB85,CB77,CB73,CB68,CB64,CB89,CB81)</f>
        <v>13907</v>
      </c>
      <c r="CC91" s="12">
        <f>IFERROR(CB91/CB$11,0)</f>
        <v>0.37378379831210018</v>
      </c>
      <c r="CD91" s="13">
        <f>SUM(CD85,CD77,CD73,CD68,CD64,CD89,CD81)</f>
        <v>14147</v>
      </c>
      <c r="CE91" s="12">
        <f>IFERROR(CD91/CD$11,0)</f>
        <v>0.37876840696117803</v>
      </c>
      <c r="CF91" s="13">
        <f>SUM(CF85,CF77,CF73,CF68,CF64,CF89,CF81)</f>
        <v>14556</v>
      </c>
      <c r="CG91" s="12">
        <f>IFERROR(CF91/CF$11,0)</f>
        <v>0.38084772370486658</v>
      </c>
      <c r="CH91" s="13">
        <f>SUM(CH85,CH77,CH73,CH68,CH64,CH89,CH81)</f>
        <v>14651</v>
      </c>
      <c r="CI91" s="12">
        <f>IFERROR(CH91/CH$11,0)</f>
        <v>0.37420821413976296</v>
      </c>
      <c r="CJ91" s="13">
        <f>SUM(CJ85,CJ77,CJ73,CJ68,CJ64,CJ89,CJ81)</f>
        <v>14789</v>
      </c>
      <c r="CK91" s="12">
        <f>IFERROR(CJ91/CJ$11,0)</f>
        <v>0.35507803121248499</v>
      </c>
      <c r="CL91" s="13">
        <f>SUM(CL85,CL77,CL73,CL68,CL64,CL89,CL81)</f>
        <v>15674</v>
      </c>
      <c r="CM91" s="12">
        <f>IFERROR(CL91/CL$11,0)</f>
        <v>0.34770070320992036</v>
      </c>
      <c r="CN91" s="13">
        <f>SUM(CN85,CN77,CN73,CN68,CN64,CN89,CN81)</f>
        <v>15214</v>
      </c>
      <c r="CO91" s="12">
        <f>IFERROR(CN91/CN$11,0)</f>
        <v>0.36899420339065264</v>
      </c>
      <c r="CP91" s="13">
        <f>SUM(CP85,CP77,CP73,CP68,CP64,CP89,CP81)</f>
        <v>14200</v>
      </c>
      <c r="CQ91" s="12">
        <f>IFERROR(CP91/CP$11,0)</f>
        <v>0.35855869504835491</v>
      </c>
      <c r="CR91" s="13">
        <f>SUM(CR85,CR77,CR73,CR68,CR64,CR89,CR81)</f>
        <v>12832</v>
      </c>
      <c r="CS91" s="12">
        <f>IFERROR(CR91/CR$11,0)</f>
        <v>0.38980527962574807</v>
      </c>
      <c r="CT91" s="13">
        <f>SUM(CT85,CT77,CT73,CT68,CT64,CT89,CT81)</f>
        <v>14017</v>
      </c>
      <c r="CU91" s="12">
        <f>IFERROR(CT91/CT$11,0)</f>
        <v>0.3667931440533822</v>
      </c>
      <c r="CV91" s="13">
        <f>SUM(CV85,CV77,CV73,CV68,CV64,CV89,CV81)</f>
        <v>14031</v>
      </c>
      <c r="CW91" s="12">
        <f>IFERROR(CV91/CV$11,0)</f>
        <v>0.35969544708777684</v>
      </c>
      <c r="CX91" s="13">
        <f>SUM(CX85,CX77,CX73,CX68,CX64,CX89,CX81)</f>
        <v>15152</v>
      </c>
      <c r="CY91" s="12">
        <f>IFERROR(CX91/CX$11,0)</f>
        <v>0.33607630032161473</v>
      </c>
      <c r="CZ91" s="13">
        <f>SUM(CZ85,CZ77,CZ73,CZ68,CZ64,CZ89,CZ81)</f>
        <v>15633</v>
      </c>
      <c r="DA91" s="12">
        <f>IFERROR(CZ91/CZ$11,0)</f>
        <v>0.34041765564096421</v>
      </c>
      <c r="DB91" s="13">
        <f>SUM(DB85,DB77,DB73,DB68,DB64,DB89,DB81)</f>
        <v>15862</v>
      </c>
      <c r="DC91" s="12">
        <f>IFERROR(DB91/DB$11,0)</f>
        <v>0.33951198630136986</v>
      </c>
      <c r="DD91" s="13">
        <f>SUM(DD85,DD77,DD73,DD68,DD64,DD89,DD81)</f>
        <v>775219</v>
      </c>
      <c r="DE91" s="12">
        <f>IFERROR(DD91/DD$11,0)</f>
        <v>0.34665390148240993</v>
      </c>
      <c r="DF91" s="48"/>
    </row>
    <row r="92" spans="2:110" x14ac:dyDescent="0.25">
      <c r="D92" s="5"/>
      <c r="E92" s="2"/>
      <c r="F92" s="5"/>
      <c r="G92" s="2"/>
      <c r="H92" s="5"/>
      <c r="I92" s="2"/>
      <c r="J92" s="5"/>
      <c r="K92" s="2"/>
      <c r="L92" s="5"/>
      <c r="M92" s="2"/>
      <c r="N92" s="5"/>
      <c r="O92" s="2"/>
      <c r="P92" s="5"/>
      <c r="Q92" s="2"/>
      <c r="R92" s="5"/>
      <c r="S92" s="2"/>
      <c r="T92" s="5"/>
      <c r="U92" s="2"/>
      <c r="V92" s="5"/>
      <c r="W92" s="2"/>
      <c r="X92" s="5"/>
      <c r="Y92" s="2"/>
      <c r="Z92" s="5"/>
      <c r="AA92" s="2"/>
      <c r="AB92" s="5"/>
      <c r="AC92" s="2"/>
      <c r="AD92" s="5"/>
      <c r="AE92" s="2"/>
      <c r="AF92" s="5"/>
      <c r="AG92" s="2"/>
      <c r="AH92" s="5"/>
      <c r="AI92" s="2"/>
      <c r="AJ92" s="5"/>
      <c r="AK92" s="2"/>
      <c r="AL92" s="5"/>
      <c r="AM92" s="2"/>
      <c r="AN92" s="5"/>
      <c r="AO92" s="2"/>
      <c r="AP92" s="5"/>
      <c r="AQ92" s="2"/>
      <c r="AR92" s="5"/>
      <c r="AS92" s="2"/>
      <c r="AT92" s="5"/>
      <c r="AU92" s="2"/>
      <c r="AV92" s="5"/>
      <c r="AW92" s="2"/>
      <c r="AX92" s="5"/>
      <c r="AY92" s="2"/>
      <c r="AZ92" s="5"/>
      <c r="BA92" s="2"/>
      <c r="BB92" s="5"/>
      <c r="BC92" s="2"/>
      <c r="BD92" s="5"/>
      <c r="BE92" s="2"/>
      <c r="BF92" s="5"/>
      <c r="BG92" s="2"/>
      <c r="BH92" s="5"/>
      <c r="BI92" s="2"/>
      <c r="BJ92" s="5"/>
      <c r="BK92" s="2"/>
      <c r="BL92" s="5"/>
      <c r="BM92" s="2"/>
      <c r="BN92" s="5"/>
      <c r="BO92" s="2"/>
      <c r="BP92" s="5"/>
      <c r="BQ92" s="2"/>
      <c r="BR92" s="5"/>
      <c r="BS92" s="2"/>
      <c r="BT92" s="5"/>
      <c r="BU92" s="2"/>
      <c r="BV92" s="5"/>
      <c r="BW92" s="2"/>
      <c r="BX92" s="5"/>
      <c r="BY92" s="2"/>
      <c r="BZ92" s="5"/>
      <c r="CA92" s="2"/>
      <c r="CB92" s="5"/>
      <c r="CC92" s="2"/>
      <c r="CD92" s="5"/>
      <c r="CE92" s="2"/>
      <c r="CF92" s="5"/>
      <c r="CG92" s="2"/>
      <c r="CH92" s="5"/>
      <c r="CI92" s="2"/>
      <c r="CJ92" s="5"/>
      <c r="CK92" s="2"/>
      <c r="CL92" s="5"/>
      <c r="CM92" s="2"/>
      <c r="CN92" s="5"/>
      <c r="CO92" s="2"/>
      <c r="CP92" s="5"/>
      <c r="CQ92" s="2"/>
      <c r="CR92" s="5"/>
      <c r="CS92" s="2"/>
      <c r="CT92" s="5"/>
      <c r="CU92" s="2"/>
      <c r="CV92" s="5"/>
      <c r="CW92" s="2"/>
      <c r="CX92" s="5"/>
      <c r="CY92" s="2"/>
      <c r="CZ92" s="5"/>
      <c r="DA92" s="2"/>
      <c r="DB92" s="5"/>
      <c r="DC92" s="2"/>
      <c r="DD92" s="5"/>
      <c r="DE92" s="2"/>
      <c r="DF92" s="28"/>
    </row>
    <row r="93" spans="2:110" ht="18.75" x14ac:dyDescent="0.3">
      <c r="B93" s="38" t="s">
        <v>14</v>
      </c>
      <c r="D93" s="5"/>
      <c r="E93" s="2"/>
      <c r="F93" s="5"/>
      <c r="G93" s="2"/>
      <c r="H93" s="5"/>
      <c r="I93" s="2"/>
      <c r="J93" s="5"/>
      <c r="K93" s="2"/>
      <c r="L93" s="5"/>
      <c r="M93" s="2"/>
      <c r="N93" s="5"/>
      <c r="O93" s="2"/>
      <c r="P93" s="5"/>
      <c r="Q93" s="2"/>
      <c r="R93" s="5"/>
      <c r="S93" s="2"/>
      <c r="T93" s="5"/>
      <c r="U93" s="2"/>
      <c r="V93" s="5"/>
      <c r="W93" s="2"/>
      <c r="X93" s="5"/>
      <c r="Y93" s="2"/>
      <c r="Z93" s="5"/>
      <c r="AA93" s="2"/>
      <c r="AB93" s="5"/>
      <c r="AC93" s="2"/>
      <c r="AD93" s="5"/>
      <c r="AE93" s="2"/>
      <c r="AF93" s="5"/>
      <c r="AG93" s="2"/>
      <c r="AH93" s="5"/>
      <c r="AI93" s="2"/>
      <c r="AJ93" s="5"/>
      <c r="AK93" s="2"/>
      <c r="AL93" s="5"/>
      <c r="AM93" s="2"/>
      <c r="AN93" s="5"/>
      <c r="AO93" s="2"/>
      <c r="AP93" s="5"/>
      <c r="AQ93" s="2"/>
      <c r="AR93" s="5"/>
      <c r="AS93" s="2"/>
      <c r="AT93" s="5"/>
      <c r="AU93" s="2"/>
      <c r="AV93" s="5"/>
      <c r="AW93" s="2"/>
      <c r="AX93" s="5"/>
      <c r="AY93" s="2"/>
      <c r="AZ93" s="5"/>
      <c r="BA93" s="2"/>
      <c r="BB93" s="5"/>
      <c r="BC93" s="2"/>
      <c r="BD93" s="5"/>
      <c r="BE93" s="2"/>
      <c r="BF93" s="5"/>
      <c r="BG93" s="2"/>
      <c r="BH93" s="5"/>
      <c r="BI93" s="2"/>
      <c r="BJ93" s="5"/>
      <c r="BK93" s="2"/>
      <c r="BL93" s="5"/>
      <c r="BM93" s="2"/>
      <c r="BN93" s="5"/>
      <c r="BO93" s="2"/>
      <c r="BP93" s="5"/>
      <c r="BQ93" s="2"/>
      <c r="BR93" s="5"/>
      <c r="BS93" s="2"/>
      <c r="BT93" s="5"/>
      <c r="BU93" s="2"/>
      <c r="BV93" s="5"/>
      <c r="BW93" s="2"/>
      <c r="BX93" s="5"/>
      <c r="BY93" s="2"/>
      <c r="BZ93" s="5"/>
      <c r="CA93" s="2"/>
      <c r="CB93" s="5"/>
      <c r="CC93" s="2"/>
      <c r="CD93" s="5"/>
      <c r="CE93" s="2"/>
      <c r="CF93" s="5"/>
      <c r="CG93" s="2"/>
      <c r="CH93" s="5"/>
      <c r="CI93" s="2"/>
      <c r="CJ93" s="5"/>
      <c r="CK93" s="2"/>
      <c r="CL93" s="5"/>
      <c r="CM93" s="2"/>
      <c r="CN93" s="5"/>
      <c r="CO93" s="2"/>
      <c r="CP93" s="5"/>
      <c r="CQ93" s="2"/>
      <c r="CR93" s="5"/>
      <c r="CS93" s="2"/>
      <c r="CT93" s="5"/>
      <c r="CU93" s="2"/>
      <c r="CV93" s="5"/>
      <c r="CW93" s="2"/>
      <c r="CX93" s="5"/>
      <c r="CY93" s="2"/>
      <c r="CZ93" s="5"/>
      <c r="DA93" s="2"/>
      <c r="DB93" s="5"/>
      <c r="DC93" s="2"/>
      <c r="DD93" s="5"/>
      <c r="DE93" s="2"/>
      <c r="DF93" s="28"/>
    </row>
    <row r="94" spans="2:110" outlineLevel="1" x14ac:dyDescent="0.25">
      <c r="D94" s="5"/>
      <c r="E94" s="2"/>
      <c r="F94" s="5"/>
      <c r="G94" s="2"/>
      <c r="H94" s="5"/>
      <c r="I94" s="2"/>
      <c r="J94" s="5"/>
      <c r="K94" s="2"/>
      <c r="L94" s="5"/>
      <c r="M94" s="2"/>
      <c r="N94" s="5"/>
      <c r="O94" s="2"/>
      <c r="P94" s="5"/>
      <c r="Q94" s="2"/>
      <c r="R94" s="5"/>
      <c r="S94" s="2"/>
      <c r="T94" s="5"/>
      <c r="U94" s="2"/>
      <c r="V94" s="5"/>
      <c r="W94" s="2"/>
      <c r="X94" s="5"/>
      <c r="Y94" s="2"/>
      <c r="Z94" s="5"/>
      <c r="AA94" s="2"/>
      <c r="AB94" s="5"/>
      <c r="AC94" s="2"/>
      <c r="AD94" s="5"/>
      <c r="AE94" s="2"/>
      <c r="AF94" s="5"/>
      <c r="AG94" s="2"/>
      <c r="AH94" s="5"/>
      <c r="AI94" s="2"/>
      <c r="AJ94" s="5"/>
      <c r="AK94" s="2"/>
      <c r="AL94" s="5"/>
      <c r="AM94" s="2"/>
      <c r="AN94" s="5"/>
      <c r="AO94" s="2"/>
      <c r="AP94" s="5"/>
      <c r="AQ94" s="2"/>
      <c r="AR94" s="5"/>
      <c r="AS94" s="2"/>
      <c r="AT94" s="5"/>
      <c r="AU94" s="2"/>
      <c r="AV94" s="5"/>
      <c r="AW94" s="2"/>
      <c r="AX94" s="5"/>
      <c r="AY94" s="2"/>
      <c r="AZ94" s="5"/>
      <c r="BA94" s="2"/>
      <c r="BB94" s="5"/>
      <c r="BC94" s="2"/>
      <c r="BD94" s="5"/>
      <c r="BE94" s="2"/>
      <c r="BF94" s="5"/>
      <c r="BG94" s="2"/>
      <c r="BH94" s="5"/>
      <c r="BI94" s="2"/>
      <c r="BJ94" s="5"/>
      <c r="BK94" s="2"/>
      <c r="BL94" s="5"/>
      <c r="BM94" s="2"/>
      <c r="BN94" s="5"/>
      <c r="BO94" s="2"/>
      <c r="BP94" s="5"/>
      <c r="BQ94" s="2"/>
      <c r="BR94" s="5"/>
      <c r="BS94" s="2"/>
      <c r="BT94" s="5"/>
      <c r="BU94" s="2"/>
      <c r="BV94" s="5"/>
      <c r="BW94" s="2"/>
      <c r="BX94" s="5"/>
      <c r="BY94" s="2"/>
      <c r="BZ94" s="5"/>
      <c r="CA94" s="2"/>
      <c r="CB94" s="5"/>
      <c r="CC94" s="2"/>
      <c r="CD94" s="5"/>
      <c r="CE94" s="2"/>
      <c r="CF94" s="5"/>
      <c r="CG94" s="2"/>
      <c r="CH94" s="5"/>
      <c r="CI94" s="2"/>
      <c r="CJ94" s="5"/>
      <c r="CK94" s="2"/>
      <c r="CL94" s="5"/>
      <c r="CM94" s="2"/>
      <c r="CN94" s="5"/>
      <c r="CO94" s="2"/>
      <c r="CP94" s="5"/>
      <c r="CQ94" s="2"/>
      <c r="CR94" s="5"/>
      <c r="CS94" s="2"/>
      <c r="CT94" s="5"/>
      <c r="CU94" s="2"/>
      <c r="CV94" s="5"/>
      <c r="CW94" s="2"/>
      <c r="CX94" s="5"/>
      <c r="CY94" s="2"/>
      <c r="CZ94" s="5"/>
      <c r="DA94" s="2"/>
      <c r="DB94" s="5"/>
      <c r="DC94" s="2"/>
      <c r="DD94" s="5"/>
      <c r="DE94" s="2"/>
      <c r="DF94" s="28"/>
    </row>
    <row r="95" spans="2:110" outlineLevel="1" x14ac:dyDescent="0.25">
      <c r="B95">
        <v>55013</v>
      </c>
      <c r="C95" t="s">
        <v>55</v>
      </c>
      <c r="D95" s="5">
        <f>IFERROR(300,0)</f>
        <v>300</v>
      </c>
      <c r="E95" s="4">
        <f t="shared" ref="E95:E96" si="265">IFERROR(D95/D$11,0)</f>
        <v>7.9455465211748823E-3</v>
      </c>
      <c r="F95" s="5">
        <f>IFERROR(300,0)</f>
        <v>300</v>
      </c>
      <c r="G95" s="4">
        <f t="shared" ref="G95:G96" si="266">IFERROR(F95/F$11,0)</f>
        <v>7.9266520463973367E-3</v>
      </c>
      <c r="H95" s="5">
        <f>IFERROR(300,0)</f>
        <v>300</v>
      </c>
      <c r="I95" s="4">
        <f t="shared" ref="I95:I96" si="267">IFERROR(H95/H$11,0)</f>
        <v>9.1807693484714011E-3</v>
      </c>
      <c r="J95" s="5">
        <f>IFERROR(300,0)</f>
        <v>300</v>
      </c>
      <c r="K95" s="4">
        <f t="shared" ref="K95:K96" si="268">IFERROR(J95/J$11,0)</f>
        <v>7.8548425104076666E-3</v>
      </c>
      <c r="L95" s="5">
        <f>IFERROR(300,0)</f>
        <v>300</v>
      </c>
      <c r="M95" s="4">
        <f t="shared" ref="M95:M96" si="269">IFERROR(L95/L$11,0)</f>
        <v>7.4143640947061436E-3</v>
      </c>
      <c r="N95" s="5">
        <f>IFERROR(300,0)</f>
        <v>300</v>
      </c>
      <c r="O95" s="4">
        <f t="shared" ref="O95:O96" si="270">IFERROR(N95/N$11,0)</f>
        <v>7.4704915583445391E-3</v>
      </c>
      <c r="P95" s="5">
        <f>IFERROR(300,0)</f>
        <v>300</v>
      </c>
      <c r="Q95" s="4">
        <f t="shared" ref="Q95:Q96" si="271">IFERROR(P95/P$11,0)</f>
        <v>5.4078413699864807E-3</v>
      </c>
      <c r="R95" s="5">
        <f>IFERROR(300,0)</f>
        <v>300</v>
      </c>
      <c r="S95" s="4">
        <f t="shared" ref="S95:S96" si="272">IFERROR(R95/R$11,0)</f>
        <v>5.4600054600054604E-3</v>
      </c>
      <c r="T95" s="5">
        <f>IFERROR(300,0)</f>
        <v>300</v>
      </c>
      <c r="U95" s="4">
        <f t="shared" ref="U95:U96" si="273">IFERROR(T95/T$11,0)</f>
        <v>5.549902876699658E-3</v>
      </c>
      <c r="V95" s="5">
        <f>IFERROR(300,0)</f>
        <v>300</v>
      </c>
      <c r="W95" s="4">
        <f t="shared" ref="W95:W96" si="274">IFERROR(V95/V$11,0)</f>
        <v>5.3720118184260009E-3</v>
      </c>
      <c r="X95" s="5">
        <f>IFERROR(300,0)</f>
        <v>300</v>
      </c>
      <c r="Y95" s="4">
        <f t="shared" ref="Y95:Y96" si="275">IFERROR(X95/X$11,0)</f>
        <v>5.6495047267522882E-3</v>
      </c>
      <c r="Z95" s="5">
        <f>IFERROR(300,0)</f>
        <v>300</v>
      </c>
      <c r="AA95" s="4">
        <f t="shared" ref="AA95:AA96" si="276">IFERROR(Z95/Z$11,0)</f>
        <v>5.9347181008902079E-3</v>
      </c>
      <c r="AB95" s="5">
        <f>IFERROR(300,0)</f>
        <v>300</v>
      </c>
      <c r="AC95" s="4">
        <f t="shared" ref="AC95:AC96" si="277">IFERROR(AB95/AB$11,0)</f>
        <v>5.6805271529197909E-3</v>
      </c>
      <c r="AD95" s="5">
        <f>IFERROR(300,0)</f>
        <v>300</v>
      </c>
      <c r="AE95" s="4">
        <f t="shared" ref="AE95:AE96" si="278">IFERROR(AD95/AD$11,0)</f>
        <v>6.2466164161079415E-3</v>
      </c>
      <c r="AF95" s="5">
        <f>IFERROR(300,0)</f>
        <v>300</v>
      </c>
      <c r="AG95" s="4">
        <f t="shared" ref="AG95:AG96" si="279">IFERROR(AF95/AF$11,0)</f>
        <v>6.0755802179108106E-3</v>
      </c>
      <c r="AH95" s="5">
        <f>IFERROR(300,0)</f>
        <v>300</v>
      </c>
      <c r="AI95" s="4">
        <f t="shared" ref="AI95:AI96" si="280">IFERROR(AH95/AH$11,0)</f>
        <v>7.46398626626527E-3</v>
      </c>
      <c r="AJ95" s="5">
        <f>IFERROR(300,0)</f>
        <v>300</v>
      </c>
      <c r="AK95" s="4">
        <f t="shared" ref="AK95:AK96" si="281">IFERROR(AJ95/AJ$11,0)</f>
        <v>6.2316943977067368E-3</v>
      </c>
      <c r="AL95" s="5">
        <f>IFERROR(300,0)</f>
        <v>300</v>
      </c>
      <c r="AM95" s="4">
        <f t="shared" ref="AM95:AM96" si="282">IFERROR(AL95/AL$11,0)</f>
        <v>6.6795805223431965E-3</v>
      </c>
      <c r="AN95" s="5">
        <f>IFERROR(300,0)</f>
        <v>300</v>
      </c>
      <c r="AO95" s="4">
        <f t="shared" ref="AO95:AO96" si="283">IFERROR(AN95/AN$11,0)</f>
        <v>5.4819552306989497E-3</v>
      </c>
      <c r="AP95" s="5">
        <f>IFERROR(300,0)</f>
        <v>300</v>
      </c>
      <c r="AQ95" s="4">
        <f t="shared" ref="AQ95:AQ96" si="284">IFERROR(AP95/AP$11,0)</f>
        <v>6.0944641950228546E-3</v>
      </c>
      <c r="AR95" s="5">
        <f>IFERROR(300,0)</f>
        <v>300</v>
      </c>
      <c r="AS95" s="4">
        <f t="shared" ref="AS95:AS96" si="285">IFERROR(AR95/AR$11,0)</f>
        <v>5.8988929744184671E-3</v>
      </c>
      <c r="AT95" s="5">
        <f>IFERROR(300,0)</f>
        <v>300</v>
      </c>
      <c r="AU95" s="4">
        <f t="shared" ref="AU95:AU96" si="286">IFERROR(AT95/AT$11,0)</f>
        <v>6.2269085474697993E-3</v>
      </c>
      <c r="AV95" s="5">
        <f>IFERROR(300,0)</f>
        <v>300</v>
      </c>
      <c r="AW95" s="4">
        <f t="shared" ref="AW95:AW96" si="287">IFERROR(AV95/AV$11,0)</f>
        <v>7.279609812914028E-3</v>
      </c>
      <c r="AX95" s="5">
        <f>IFERROR(300,0)</f>
        <v>300</v>
      </c>
      <c r="AY95" s="4">
        <f t="shared" ref="AY95:AY96" si="288">IFERROR(AX95/AX$11,0)</f>
        <v>5.8295441296490613E-3</v>
      </c>
      <c r="AZ95" s="5">
        <f>IFERROR(300,0)</f>
        <v>300</v>
      </c>
      <c r="BA95" s="4">
        <f t="shared" ref="BA95:BA96" si="289">IFERROR(AZ95/AZ$11,0)</f>
        <v>7.2124053371799496E-3</v>
      </c>
      <c r="BB95" s="5">
        <f>IFERROR(300,0)</f>
        <v>300</v>
      </c>
      <c r="BC95" s="4">
        <f t="shared" ref="BC95:BC96" si="290">IFERROR(BB95/BB$11,0)</f>
        <v>6.9110092377156814E-3</v>
      </c>
      <c r="BD95" s="5">
        <f>IFERROR(300,0)</f>
        <v>300</v>
      </c>
      <c r="BE95" s="4">
        <f t="shared" ref="BE95:BE96" si="291">IFERROR(BD95/BD$11,0)</f>
        <v>7.5174781366677528E-3</v>
      </c>
      <c r="BF95" s="5">
        <f>IFERROR(300,0)</f>
        <v>300</v>
      </c>
      <c r="BG95" s="4">
        <f t="shared" ref="BG95:BG96" si="292">IFERROR(BF95/BF$11,0)</f>
        <v>7.7019845446843474E-3</v>
      </c>
      <c r="BH95" s="5">
        <f>IFERROR(300,0)</f>
        <v>300</v>
      </c>
      <c r="BI95" s="4">
        <f t="shared" ref="BI95:BI96" si="293">IFERROR(BH95/BH$11,0)</f>
        <v>7.9550275774289345E-3</v>
      </c>
      <c r="BJ95" s="5">
        <f>IFERROR(300,0)</f>
        <v>300</v>
      </c>
      <c r="BK95" s="4">
        <f t="shared" ref="BK95:BK96" si="294">IFERROR(BJ95/BJ$11,0)</f>
        <v>7.7549437766576195E-3</v>
      </c>
      <c r="BL95" s="5">
        <f>IFERROR(300,0)</f>
        <v>300</v>
      </c>
      <c r="BM95" s="4">
        <f t="shared" ref="BM95:BM96" si="295">IFERROR(BL95/BL$11,0)</f>
        <v>7.0154105184388376E-3</v>
      </c>
      <c r="BN95" s="5">
        <f>IFERROR(300,0)</f>
        <v>300</v>
      </c>
      <c r="BO95" s="4">
        <f t="shared" ref="BO95:BO96" si="296">IFERROR(BN95/BN$11,0)</f>
        <v>7.4870847787566449E-3</v>
      </c>
      <c r="BP95" s="5">
        <f>IFERROR(300,0)</f>
        <v>300</v>
      </c>
      <c r="BQ95" s="4">
        <f t="shared" ref="BQ95:BQ96" si="297">IFERROR(BP95/BP$11,0)</f>
        <v>8.4616686410560159E-3</v>
      </c>
      <c r="BR95" s="5">
        <f>IFERROR(300,0)</f>
        <v>300</v>
      </c>
      <c r="BS95" s="4">
        <f t="shared" ref="BS95:BS96" si="298">IFERROR(BR95/BR$11,0)</f>
        <v>9.0418638295307278E-3</v>
      </c>
      <c r="BT95" s="5">
        <f>IFERROR(300,0)</f>
        <v>300</v>
      </c>
      <c r="BU95" s="4">
        <f t="shared" ref="BU95:BU96" si="299">IFERROR(BT95/BT$11,0)</f>
        <v>7.0315246689323799E-3</v>
      </c>
      <c r="BV95" s="5">
        <f>IFERROR(300,0)</f>
        <v>300</v>
      </c>
      <c r="BW95" s="4">
        <f t="shared" ref="BW95:BW96" si="300">IFERROR(BV95/BV$11,0)</f>
        <v>8.7616822429906534E-3</v>
      </c>
      <c r="BX95" s="5">
        <f>IFERROR(300,0)</f>
        <v>300</v>
      </c>
      <c r="BY95" s="4">
        <f t="shared" ref="BY95:BY96" si="301">IFERROR(BX95/BX$11,0)</f>
        <v>8.0476420408820224E-3</v>
      </c>
      <c r="BZ95" s="5">
        <f>IFERROR(300,0)</f>
        <v>300</v>
      </c>
      <c r="CA95" s="4">
        <f t="shared" ref="CA95:CA96" si="302">IFERROR(BZ95/BZ$11,0)</f>
        <v>9.1363138019247159E-3</v>
      </c>
      <c r="CB95" s="5">
        <f>IFERROR(300,0)</f>
        <v>300</v>
      </c>
      <c r="CC95" s="4">
        <f t="shared" ref="CC95:CC96" si="303">IFERROR(CB95/CB$11,0)</f>
        <v>8.0632156103854213E-3</v>
      </c>
      <c r="CD95" s="5">
        <f>IFERROR(300,0)</f>
        <v>300</v>
      </c>
      <c r="CE95" s="4">
        <f t="shared" ref="CE95:CE96" si="304">IFERROR(CD95/CD$11,0)</f>
        <v>8.0321285140562242E-3</v>
      </c>
      <c r="CF95" s="5">
        <f>IFERROR(300,0)</f>
        <v>300</v>
      </c>
      <c r="CG95" s="4">
        <f t="shared" ref="CG95:CG96" si="305">IFERROR(CF95/CF$11,0)</f>
        <v>7.8492935635792772E-3</v>
      </c>
      <c r="CH95" s="5">
        <f>IFERROR(300,0)</f>
        <v>300</v>
      </c>
      <c r="CI95" s="4">
        <f t="shared" ref="CI95:CI96" si="306">IFERROR(CH95/CH$11,0)</f>
        <v>7.6624438087454028E-3</v>
      </c>
      <c r="CJ95" s="5">
        <f>IFERROR(300,0)</f>
        <v>300</v>
      </c>
      <c r="CK95" s="4">
        <f t="shared" ref="CK95:CK96" si="307">IFERROR(CJ95/CJ$11,0)</f>
        <v>7.2028811524609843E-3</v>
      </c>
      <c r="CL95" s="5">
        <f>IFERROR(300,0)</f>
        <v>300</v>
      </c>
      <c r="CM95" s="4">
        <f t="shared" ref="CM95:CM96" si="308">IFERROR(CL95/CL$11,0)</f>
        <v>6.6549834734577077E-3</v>
      </c>
      <c r="CN95" s="5">
        <f>IFERROR(300,0)</f>
        <v>300</v>
      </c>
      <c r="CO95" s="4">
        <f t="shared" ref="CO95:CO96" si="309">IFERROR(CN95/CN$11,0)</f>
        <v>7.2760786786641119E-3</v>
      </c>
      <c r="CP95" s="5">
        <f>IFERROR(300,0)</f>
        <v>300</v>
      </c>
      <c r="CQ95" s="4">
        <f t="shared" ref="CQ95:CQ96" si="310">IFERROR(CP95/CP$11,0)</f>
        <v>7.5751836982046817E-3</v>
      </c>
      <c r="CR95" s="5">
        <f>IFERROR(300,0)</f>
        <v>300</v>
      </c>
      <c r="CS95" s="4">
        <f t="shared" ref="CS95:CS96" si="311">IFERROR(CR95/CR$11,0)</f>
        <v>9.1132780461131869E-3</v>
      </c>
      <c r="CT95" s="5">
        <f>IFERROR(300,0)</f>
        <v>300</v>
      </c>
      <c r="CU95" s="4">
        <f t="shared" ref="CU95:CU96" si="312">IFERROR(CT95/CT$11,0)</f>
        <v>7.8503205547559851E-3</v>
      </c>
      <c r="CV95" s="5">
        <f>IFERROR(300,0)</f>
        <v>300</v>
      </c>
      <c r="CW95" s="4">
        <f t="shared" ref="CW95:CW96" si="313">IFERROR(CV95/CV$11,0)</f>
        <v>7.6907301066447909E-3</v>
      </c>
      <c r="CX95" s="5">
        <f>IFERROR(300,0)</f>
        <v>300</v>
      </c>
      <c r="CY95" s="4">
        <f t="shared" ref="CY95:CY96" si="314">IFERROR(CX95/CX$11,0)</f>
        <v>6.6540978152378836E-3</v>
      </c>
      <c r="CZ95" s="5">
        <f>IFERROR(300,0)</f>
        <v>300</v>
      </c>
      <c r="DA95" s="4">
        <f t="shared" ref="DA95:DA96" si="315">IFERROR(CZ95/CZ$11,0)</f>
        <v>6.5326742590858609E-3</v>
      </c>
      <c r="DB95" s="5">
        <f>IFERROR(300,0)</f>
        <v>300</v>
      </c>
      <c r="DC95" s="4">
        <f t="shared" ref="DC95:DC96" si="316">IFERROR(DB95/DB$11,0)</f>
        <v>6.4212328767123284E-3</v>
      </c>
      <c r="DD95" s="5">
        <f>SUM(OSRRefD93_0_0x_0)</f>
        <v>15600</v>
      </c>
      <c r="DE95" s="4">
        <f t="shared" ref="DE95:DE96" si="317">IFERROR(DD95/DD$11,0)</f>
        <v>6.9758363289929622E-3</v>
      </c>
      <c r="DF95" s="28"/>
    </row>
    <row r="96" spans="2:110" outlineLevel="1" x14ac:dyDescent="0.25">
      <c r="B96">
        <v>55071</v>
      </c>
      <c r="C96" t="s">
        <v>56</v>
      </c>
      <c r="D96" s="5">
        <f>IFERROR(113,0)</f>
        <v>113</v>
      </c>
      <c r="E96" s="4">
        <f t="shared" si="265"/>
        <v>2.9928225229758718E-3</v>
      </c>
      <c r="F96" s="5">
        <f>IFERROR(114,0)</f>
        <v>114</v>
      </c>
      <c r="G96" s="4">
        <f t="shared" si="266"/>
        <v>3.0121277776309881E-3</v>
      </c>
      <c r="H96" s="5">
        <f>IFERROR(98,0)</f>
        <v>98</v>
      </c>
      <c r="I96" s="4">
        <f t="shared" si="267"/>
        <v>2.9990513205006581E-3</v>
      </c>
      <c r="J96" s="5">
        <f>IFERROR(115,0)</f>
        <v>115</v>
      </c>
      <c r="K96" s="4">
        <f t="shared" si="268"/>
        <v>3.0110229623229387E-3</v>
      </c>
      <c r="L96" s="5">
        <f>IFERROR(121,0)</f>
        <v>121</v>
      </c>
      <c r="M96" s="4">
        <f t="shared" si="269"/>
        <v>2.9904601848648113E-3</v>
      </c>
      <c r="N96" s="5">
        <f>IFERROR(120,0)</f>
        <v>120</v>
      </c>
      <c r="O96" s="4">
        <f t="shared" si="270"/>
        <v>2.9881966233378156E-3</v>
      </c>
      <c r="P96" s="5">
        <f>IFERROR(166,0)</f>
        <v>166</v>
      </c>
      <c r="Q96" s="4">
        <f t="shared" si="271"/>
        <v>2.992338891392519E-3</v>
      </c>
      <c r="R96" s="5">
        <f>IFERROR(165,0)</f>
        <v>165</v>
      </c>
      <c r="S96" s="4">
        <f t="shared" si="272"/>
        <v>3.003003003003003E-3</v>
      </c>
      <c r="T96" s="5">
        <f>IFERROR(162,0)</f>
        <v>162</v>
      </c>
      <c r="U96" s="4">
        <f t="shared" si="273"/>
        <v>2.9969475534178153E-3</v>
      </c>
      <c r="V96" s="5">
        <f>IFERROR(168,0)</f>
        <v>168</v>
      </c>
      <c r="W96" s="4">
        <f t="shared" si="274"/>
        <v>3.0083266183185604E-3</v>
      </c>
      <c r="X96" s="5">
        <f>IFERROR(159,0)</f>
        <v>159</v>
      </c>
      <c r="Y96" s="4">
        <f t="shared" si="275"/>
        <v>2.9942375051787125E-3</v>
      </c>
      <c r="Z96" s="5">
        <f>IFERROR(152,0)</f>
        <v>152</v>
      </c>
      <c r="AA96" s="4">
        <f t="shared" si="276"/>
        <v>3.0069238377843717E-3</v>
      </c>
      <c r="AB96" s="5">
        <f>IFERROR(158,0)</f>
        <v>158</v>
      </c>
      <c r="AC96" s="4">
        <f t="shared" si="277"/>
        <v>2.9917443005377567E-3</v>
      </c>
      <c r="AD96" s="5">
        <f>IFERROR(144,0)</f>
        <v>144</v>
      </c>
      <c r="AE96" s="4">
        <f t="shared" si="278"/>
        <v>2.9983758797318119E-3</v>
      </c>
      <c r="AF96" s="5">
        <f>IFERROR(148,0)</f>
        <v>148</v>
      </c>
      <c r="AG96" s="4">
        <f t="shared" si="279"/>
        <v>2.9972862408359996E-3</v>
      </c>
      <c r="AH96" s="5">
        <f>IFERROR(121,0)</f>
        <v>121</v>
      </c>
      <c r="AI96" s="4">
        <f t="shared" si="280"/>
        <v>3.0104744607269921E-3</v>
      </c>
      <c r="AJ96" s="5">
        <f>IFERROR(144,0)</f>
        <v>144</v>
      </c>
      <c r="AK96" s="4">
        <f t="shared" si="281"/>
        <v>2.9912133108992334E-3</v>
      </c>
      <c r="AL96" s="5">
        <f>IFERROR(135,0)</f>
        <v>135</v>
      </c>
      <c r="AM96" s="4">
        <f t="shared" si="282"/>
        <v>3.0058112350544387E-3</v>
      </c>
      <c r="AN96" s="5">
        <f>IFERROR(164,0)</f>
        <v>164</v>
      </c>
      <c r="AO96" s="4">
        <f t="shared" si="283"/>
        <v>2.9968021927820922E-3</v>
      </c>
      <c r="AP96" s="5">
        <f>IFERROR(148,0)</f>
        <v>148</v>
      </c>
      <c r="AQ96" s="4">
        <f t="shared" si="284"/>
        <v>3.0066023362112747E-3</v>
      </c>
      <c r="AR96" s="5">
        <f>IFERROR(153,0)</f>
        <v>153</v>
      </c>
      <c r="AS96" s="4">
        <f t="shared" si="285"/>
        <v>3.0084354169534182E-3</v>
      </c>
      <c r="AT96" s="5">
        <f>IFERROR(145,0)</f>
        <v>145</v>
      </c>
      <c r="AU96" s="4">
        <f t="shared" si="286"/>
        <v>3.0096724646104032E-3</v>
      </c>
      <c r="AV96" s="5">
        <f>IFERROR(124,0)</f>
        <v>124</v>
      </c>
      <c r="AW96" s="4">
        <f t="shared" si="287"/>
        <v>3.0089053893377982E-3</v>
      </c>
      <c r="AX96" s="5">
        <f>IFERROR(154,0)</f>
        <v>154</v>
      </c>
      <c r="AY96" s="4">
        <f t="shared" si="288"/>
        <v>2.9924993198865183E-3</v>
      </c>
      <c r="AZ96" s="5">
        <f>IFERROR(125,0)</f>
        <v>125</v>
      </c>
      <c r="BA96" s="4">
        <f t="shared" si="289"/>
        <v>3.0051688904916456E-3</v>
      </c>
      <c r="BB96" s="5">
        <f>IFERROR(130,0)</f>
        <v>130</v>
      </c>
      <c r="BC96" s="4">
        <f t="shared" si="290"/>
        <v>2.9947706696767953E-3</v>
      </c>
      <c r="BD96" s="5">
        <f>IFERROR(120,0)</f>
        <v>120</v>
      </c>
      <c r="BE96" s="4">
        <f t="shared" si="291"/>
        <v>3.0069912546671009E-3</v>
      </c>
      <c r="BF96" s="5">
        <f>IFERROR(117,0)</f>
        <v>117</v>
      </c>
      <c r="BG96" s="4">
        <f t="shared" si="292"/>
        <v>3.0037739724268955E-3</v>
      </c>
      <c r="BH96" s="5">
        <f>IFERROR(113,0)</f>
        <v>113</v>
      </c>
      <c r="BI96" s="4">
        <f t="shared" si="293"/>
        <v>2.9963937208315654E-3</v>
      </c>
      <c r="BJ96" s="5">
        <f>IFERROR(116,0)</f>
        <v>116</v>
      </c>
      <c r="BK96" s="4">
        <f t="shared" si="294"/>
        <v>2.9985782603076127E-3</v>
      </c>
      <c r="BL96" s="5">
        <f>IFERROR(128,0)</f>
        <v>128</v>
      </c>
      <c r="BM96" s="4">
        <f t="shared" si="295"/>
        <v>2.9932418212005704E-3</v>
      </c>
      <c r="BN96" s="5">
        <f>IFERROR(120,0)</f>
        <v>120</v>
      </c>
      <c r="BO96" s="4">
        <f t="shared" si="296"/>
        <v>2.9948339115026578E-3</v>
      </c>
      <c r="BP96" s="5">
        <f>IFERROR(106,0)</f>
        <v>106</v>
      </c>
      <c r="BQ96" s="4">
        <f t="shared" si="297"/>
        <v>2.9897895865064589E-3</v>
      </c>
      <c r="BR96" s="5">
        <f>IFERROR(100,0)</f>
        <v>100</v>
      </c>
      <c r="BS96" s="4">
        <f t="shared" si="298"/>
        <v>3.0139546098435759E-3</v>
      </c>
      <c r="BT96" s="5">
        <f>IFERROR(128,0)</f>
        <v>128</v>
      </c>
      <c r="BU96" s="4">
        <f t="shared" si="299"/>
        <v>3.0001171920778155E-3</v>
      </c>
      <c r="BV96" s="5">
        <f>IFERROR(103,0)</f>
        <v>103</v>
      </c>
      <c r="BW96" s="4">
        <f t="shared" si="300"/>
        <v>3.008177570093458E-3</v>
      </c>
      <c r="BX96" s="5">
        <f>IFERROR(112,0)</f>
        <v>112</v>
      </c>
      <c r="BY96" s="4">
        <f t="shared" si="301"/>
        <v>3.0044530285959548E-3</v>
      </c>
      <c r="BZ96" s="5">
        <f>IFERROR(99,0)</f>
        <v>99</v>
      </c>
      <c r="CA96" s="4">
        <f t="shared" si="302"/>
        <v>3.0149835546351565E-3</v>
      </c>
      <c r="CB96" s="5">
        <f>IFERROR(112,0)</f>
        <v>112</v>
      </c>
      <c r="CC96" s="4">
        <f t="shared" si="303"/>
        <v>3.0102671612105576E-3</v>
      </c>
      <c r="CD96" s="5">
        <f>IFERROR(112,0)</f>
        <v>112</v>
      </c>
      <c r="CE96" s="4">
        <f t="shared" si="304"/>
        <v>2.9986613119143239E-3</v>
      </c>
      <c r="CF96" s="5">
        <f>IFERROR(115,0)</f>
        <v>115</v>
      </c>
      <c r="CG96" s="4">
        <f t="shared" si="305"/>
        <v>3.0088958660387231E-3</v>
      </c>
      <c r="CH96" s="5">
        <f>IFERROR(117,0)</f>
        <v>117</v>
      </c>
      <c r="CI96" s="4">
        <f t="shared" si="306"/>
        <v>2.9883530854107072E-3</v>
      </c>
      <c r="CJ96" s="5">
        <f>IFERROR(125,0)</f>
        <v>125</v>
      </c>
      <c r="CK96" s="4">
        <f t="shared" si="307"/>
        <v>3.0012004801920769E-3</v>
      </c>
      <c r="CL96" s="5">
        <f>IFERROR(135,0)</f>
        <v>135</v>
      </c>
      <c r="CM96" s="4">
        <f t="shared" si="308"/>
        <v>2.9947425630559685E-3</v>
      </c>
      <c r="CN96" s="5">
        <f>IFERROR(124,0)</f>
        <v>124</v>
      </c>
      <c r="CO96" s="4">
        <f t="shared" si="309"/>
        <v>3.0074458538478328E-3</v>
      </c>
      <c r="CP96" s="5">
        <f>IFERROR(119,0)</f>
        <v>119</v>
      </c>
      <c r="CQ96" s="4">
        <f t="shared" si="310"/>
        <v>3.0048228669545237E-3</v>
      </c>
      <c r="CR96" s="5">
        <f>IFERROR(99,0)</f>
        <v>99</v>
      </c>
      <c r="CS96" s="4">
        <f t="shared" si="311"/>
        <v>3.0073817552173517E-3</v>
      </c>
      <c r="CT96" s="5">
        <f>IFERROR(115,0)</f>
        <v>115</v>
      </c>
      <c r="CU96" s="4">
        <f t="shared" si="312"/>
        <v>3.0092895459897947E-3</v>
      </c>
      <c r="CV96" s="5">
        <f>IFERROR(117,0)</f>
        <v>117</v>
      </c>
      <c r="CW96" s="4">
        <f t="shared" si="313"/>
        <v>2.9993847415914683E-3</v>
      </c>
      <c r="CX96" s="5">
        <f>IFERROR(135,0)</f>
        <v>135</v>
      </c>
      <c r="CY96" s="4">
        <f t="shared" si="314"/>
        <v>2.9943440168570478E-3</v>
      </c>
      <c r="CZ96" s="5">
        <f>IFERROR(138,0)</f>
        <v>138</v>
      </c>
      <c r="DA96" s="4">
        <f t="shared" si="315"/>
        <v>3.0050301591794961E-3</v>
      </c>
      <c r="DB96" s="5">
        <f>IFERROR(140,0)</f>
        <v>140</v>
      </c>
      <c r="DC96" s="4">
        <f t="shared" si="316"/>
        <v>2.9965753424657533E-3</v>
      </c>
      <c r="DD96" s="5">
        <f>SUM(OSRRefD93_0_1x_0)</f>
        <v>6711</v>
      </c>
      <c r="DE96" s="4">
        <f t="shared" si="317"/>
        <v>3.0009511284533183E-3</v>
      </c>
      <c r="DF96" s="28"/>
    </row>
    <row r="97" spans="2:110" x14ac:dyDescent="0.25">
      <c r="C97" s="31" t="str">
        <f>"TOTAL " &amp; "A&amp;P"</f>
        <v>TOTAL A&amp;P</v>
      </c>
      <c r="D97" s="3">
        <f>SUM(OSRRefD93_0x_0_0)</f>
        <v>413</v>
      </c>
      <c r="E97" s="1">
        <f>IFERROR(D97/D$11,0)</f>
        <v>1.0938369044150754E-2</v>
      </c>
      <c r="F97" s="3">
        <f>SUM(OSRRefD93_0x_0_1)</f>
        <v>414</v>
      </c>
      <c r="G97" s="1">
        <f>IFERROR(F97/F$11,0)</f>
        <v>1.0938779824028324E-2</v>
      </c>
      <c r="H97" s="3">
        <f>SUM(OSRRefD93_0x_0_2)</f>
        <v>398</v>
      </c>
      <c r="I97" s="1">
        <f>IFERROR(H97/H$11,0)</f>
        <v>1.2179820668972059E-2</v>
      </c>
      <c r="J97" s="3">
        <f>SUM(OSRRefD93_0x_0_3)</f>
        <v>415</v>
      </c>
      <c r="K97" s="1">
        <f>IFERROR(J97/J$11,0)</f>
        <v>1.0865865472730605E-2</v>
      </c>
      <c r="L97" s="3">
        <f>SUM(OSRRefD93_0x_0_4)</f>
        <v>421</v>
      </c>
      <c r="M97" s="1">
        <f>IFERROR(L97/L$11,0)</f>
        <v>1.0404824279570955E-2</v>
      </c>
      <c r="N97" s="3">
        <f>SUM(OSRRefD93_0x_0_5)</f>
        <v>420</v>
      </c>
      <c r="O97" s="1">
        <f>IFERROR(N97/N$11,0)</f>
        <v>1.0458688181682354E-2</v>
      </c>
      <c r="P97" s="3">
        <f>SUM(OSRRefD93_0x_0_6)</f>
        <v>466</v>
      </c>
      <c r="Q97" s="1">
        <f>IFERROR(P97/P$11,0)</f>
        <v>8.4001802613790002E-3</v>
      </c>
      <c r="R97" s="3">
        <f>SUM(OSRRefD93_0x_0_7)</f>
        <v>465</v>
      </c>
      <c r="S97" s="1">
        <f>IFERROR(R97/R$11,0)</f>
        <v>8.4630084630084625E-3</v>
      </c>
      <c r="T97" s="3">
        <f>SUM(OSRRefD93_0x_0_8)</f>
        <v>462</v>
      </c>
      <c r="U97" s="1">
        <f>IFERROR(T97/T$11,0)</f>
        <v>8.5468504301174728E-3</v>
      </c>
      <c r="V97" s="3">
        <f>SUM(OSRRefD93_0x_0_9)</f>
        <v>468</v>
      </c>
      <c r="W97" s="1">
        <f>IFERROR(V97/V$11,0)</f>
        <v>8.38033843674456E-3</v>
      </c>
      <c r="X97" s="3">
        <f>SUM(OSRRefD93_0x_0_10)</f>
        <v>459</v>
      </c>
      <c r="Y97" s="1">
        <f>IFERROR(X97/X$11,0)</f>
        <v>8.6437422319310016E-3</v>
      </c>
      <c r="Z97" s="3">
        <f>SUM(OSRRefD93_0x_0_11)</f>
        <v>452</v>
      </c>
      <c r="AA97" s="1">
        <f>IFERROR(Z97/Z$11,0)</f>
        <v>8.9416419386745792E-3</v>
      </c>
      <c r="AB97" s="3">
        <f>SUM(OSRRefD93_0x_0_12)</f>
        <v>458</v>
      </c>
      <c r="AC97" s="1">
        <f>IFERROR(AB97/AB$11,0)</f>
        <v>8.672271453457548E-3</v>
      </c>
      <c r="AD97" s="3">
        <f>SUM(OSRRefD93_0x_0_13)</f>
        <v>444</v>
      </c>
      <c r="AE97" s="1">
        <f>IFERROR(AD97/AD$11,0)</f>
        <v>9.2449922958397542E-3</v>
      </c>
      <c r="AF97" s="3">
        <f>SUM(OSRRefD93_0x_0_14)</f>
        <v>448</v>
      </c>
      <c r="AG97" s="1">
        <f>IFERROR(AF97/AF$11,0)</f>
        <v>9.0728664587468102E-3</v>
      </c>
      <c r="AH97" s="3">
        <f>SUM(OSRRefD93_0x_0_15)</f>
        <v>421</v>
      </c>
      <c r="AI97" s="1">
        <f>IFERROR(AH97/AH$11,0)</f>
        <v>1.0474460726992263E-2</v>
      </c>
      <c r="AJ97" s="3">
        <f>SUM(OSRRefD93_0x_0_16)</f>
        <v>444</v>
      </c>
      <c r="AK97" s="1">
        <f>IFERROR(AJ97/AJ$11,0)</f>
        <v>9.2229077086059697E-3</v>
      </c>
      <c r="AL97" s="3">
        <f>SUM(OSRRefD93_0x_0_17)</f>
        <v>435</v>
      </c>
      <c r="AM97" s="1">
        <f>IFERROR(AL97/AL$11,0)</f>
        <v>9.6853917573976357E-3</v>
      </c>
      <c r="AN97" s="3">
        <f>SUM(OSRRefD93_0x_0_18)</f>
        <v>464</v>
      </c>
      <c r="AO97" s="1">
        <f>IFERROR(AN97/AN$11,0)</f>
        <v>8.4787574234810419E-3</v>
      </c>
      <c r="AP97" s="3">
        <f>SUM(OSRRefD93_0x_0_19)</f>
        <v>448</v>
      </c>
      <c r="AQ97" s="1">
        <f>IFERROR(AP97/AP$11,0)</f>
        <v>9.1010665312341293E-3</v>
      </c>
      <c r="AR97" s="3">
        <f>SUM(OSRRefD93_0x_0_20)</f>
        <v>453</v>
      </c>
      <c r="AS97" s="1">
        <f>IFERROR(AR97/AR$11,0)</f>
        <v>8.9073283913718854E-3</v>
      </c>
      <c r="AT97" s="3">
        <f>SUM(OSRRefD93_0x_0_21)</f>
        <v>445</v>
      </c>
      <c r="AU97" s="1">
        <f>IFERROR(AT97/AT$11,0)</f>
        <v>9.2365810120802021E-3</v>
      </c>
      <c r="AV97" s="3">
        <f>SUM(OSRRefD93_0x_0_22)</f>
        <v>424</v>
      </c>
      <c r="AW97" s="1">
        <f>IFERROR(AV97/AV$11,0)</f>
        <v>1.0288515202251826E-2</v>
      </c>
      <c r="AX97" s="3">
        <f>SUM(OSRRefD93_0x_0_23)</f>
        <v>454</v>
      </c>
      <c r="AY97" s="1">
        <f>IFERROR(AX97/AX$11,0)</f>
        <v>8.8220434495355788E-3</v>
      </c>
      <c r="AZ97" s="3">
        <f>SUM(OSRRefD93_0x_0_24)</f>
        <v>425</v>
      </c>
      <c r="BA97" s="1">
        <f>IFERROR(AZ97/AZ$11,0)</f>
        <v>1.0217574227671595E-2</v>
      </c>
      <c r="BB97" s="3">
        <f>SUM(OSRRefD93_0x_0_25)</f>
        <v>430</v>
      </c>
      <c r="BC97" s="1">
        <f>IFERROR(BB97/BB$11,0)</f>
        <v>9.9057799073924754E-3</v>
      </c>
      <c r="BD97" s="3">
        <f>SUM(OSRRefD93_0x_0_26)</f>
        <v>420</v>
      </c>
      <c r="BE97" s="1">
        <f>IFERROR(BD97/BD$11,0)</f>
        <v>1.0524469391334853E-2</v>
      </c>
      <c r="BF97" s="3">
        <f>SUM(OSRRefD93_0x_0_27)</f>
        <v>417</v>
      </c>
      <c r="BG97" s="1">
        <f>IFERROR(BF97/BF$11,0)</f>
        <v>1.0705758517111242E-2</v>
      </c>
      <c r="BH97" s="3">
        <f>SUM(OSRRefD93_0x_0_28)</f>
        <v>413</v>
      </c>
      <c r="BI97" s="1">
        <f>IFERROR(BH97/BH$11,0)</f>
        <v>1.0951421298260501E-2</v>
      </c>
      <c r="BJ97" s="3">
        <f>SUM(OSRRefD93_0x_0_29)</f>
        <v>416</v>
      </c>
      <c r="BK97" s="1">
        <f>IFERROR(BJ97/BJ$11,0)</f>
        <v>1.0753522036965233E-2</v>
      </c>
      <c r="BL97" s="3">
        <f>SUM(OSRRefD93_0x_0_30)</f>
        <v>428</v>
      </c>
      <c r="BM97" s="1">
        <f>IFERROR(BL97/BL$11,0)</f>
        <v>1.0008652339639408E-2</v>
      </c>
      <c r="BN97" s="3">
        <f>SUM(OSRRefD93_0x_0_31)</f>
        <v>420</v>
      </c>
      <c r="BO97" s="1">
        <f>IFERROR(BN97/BN$11,0)</f>
        <v>1.0481918690259303E-2</v>
      </c>
      <c r="BP97" s="3">
        <f>SUM(OSRRefD93_0x_0_32)</f>
        <v>406</v>
      </c>
      <c r="BQ97" s="1">
        <f>IFERROR(BP97/BP$11,0)</f>
        <v>1.1451458227562475E-2</v>
      </c>
      <c r="BR97" s="3">
        <f>SUM(OSRRefD93_0x_0_33)</f>
        <v>400</v>
      </c>
      <c r="BS97" s="1">
        <f>IFERROR(BR97/BR$11,0)</f>
        <v>1.2055818439374304E-2</v>
      </c>
      <c r="BT97" s="3">
        <f>SUM(OSRRefD93_0x_0_34)</f>
        <v>428</v>
      </c>
      <c r="BU97" s="1">
        <f>IFERROR(BT97/BT$11,0)</f>
        <v>1.0031641861010196E-2</v>
      </c>
      <c r="BV97" s="3">
        <f>SUM(OSRRefD93_0x_0_35)</f>
        <v>403</v>
      </c>
      <c r="BW97" s="1">
        <f>IFERROR(BV97/BV$11,0)</f>
        <v>1.1769859813084113E-2</v>
      </c>
      <c r="BX97" s="3">
        <f>SUM(OSRRefD93_0x_0_36)</f>
        <v>412</v>
      </c>
      <c r="BY97" s="1">
        <f>IFERROR(BX97/BX$11,0)</f>
        <v>1.1052095069477977E-2</v>
      </c>
      <c r="BZ97" s="3">
        <f>SUM(OSRRefD93_0x_0_37)</f>
        <v>399</v>
      </c>
      <c r="CA97" s="1">
        <f>IFERROR(BZ97/BZ$11,0)</f>
        <v>1.2151297356559874E-2</v>
      </c>
      <c r="CB97" s="3">
        <f>SUM(OSRRefD93_0x_0_38)</f>
        <v>412</v>
      </c>
      <c r="CC97" s="1">
        <f>IFERROR(CB97/CB$11,0)</f>
        <v>1.1073482771595979E-2</v>
      </c>
      <c r="CD97" s="3">
        <f>SUM(OSRRefD93_0x_0_39)</f>
        <v>412</v>
      </c>
      <c r="CE97" s="1">
        <f>IFERROR(CD97/CD$11,0)</f>
        <v>1.1030789825970548E-2</v>
      </c>
      <c r="CF97" s="3">
        <f>SUM(OSRRefD93_0x_0_40)</f>
        <v>415</v>
      </c>
      <c r="CG97" s="1">
        <f>IFERROR(CF97/CF$11,0)</f>
        <v>1.0858189429618002E-2</v>
      </c>
      <c r="CH97" s="3">
        <f>SUM(OSRRefD93_0x_0_41)</f>
        <v>417</v>
      </c>
      <c r="CI97" s="1">
        <f>IFERROR(CH97/CH$11,0)</f>
        <v>1.0650796894156109E-2</v>
      </c>
      <c r="CJ97" s="3">
        <f>SUM(OSRRefD93_0x_0_42)</f>
        <v>425</v>
      </c>
      <c r="CK97" s="1">
        <f>IFERROR(CJ97/CJ$11,0)</f>
        <v>1.020408163265306E-2</v>
      </c>
      <c r="CL97" s="3">
        <f>SUM(OSRRefD93_0x_0_43)</f>
        <v>435</v>
      </c>
      <c r="CM97" s="1">
        <f>IFERROR(CL97/CL$11,0)</f>
        <v>9.6497260365136766E-3</v>
      </c>
      <c r="CN97" s="3">
        <f>SUM(OSRRefD93_0x_0_44)</f>
        <v>424</v>
      </c>
      <c r="CO97" s="1">
        <f>IFERROR(CN97/CN$11,0)</f>
        <v>1.0283524532511945E-2</v>
      </c>
      <c r="CP97" s="3">
        <f>SUM(OSRRefD93_0x_0_45)</f>
        <v>419</v>
      </c>
      <c r="CQ97" s="1">
        <f>IFERROR(CP97/CP$11,0)</f>
        <v>1.0580006565159205E-2</v>
      </c>
      <c r="CR97" s="3">
        <f>SUM(OSRRefD93_0x_0_46)</f>
        <v>399</v>
      </c>
      <c r="CS97" s="1">
        <f>IFERROR(CR97/CR$11,0)</f>
        <v>1.2120659801330539E-2</v>
      </c>
      <c r="CT97" s="3">
        <f>SUM(OSRRefD93_0x_0_47)</f>
        <v>415</v>
      </c>
      <c r="CU97" s="1">
        <f>IFERROR(CT97/CT$11,0)</f>
        <v>1.085961010074578E-2</v>
      </c>
      <c r="CV97" s="3">
        <f>SUM(OSRRefD93_0x_0_48)</f>
        <v>417</v>
      </c>
      <c r="CW97" s="1">
        <f>IFERROR(CV97/CV$11,0)</f>
        <v>1.069011484823626E-2</v>
      </c>
      <c r="CX97" s="3">
        <f>SUM(OSRRefD93_0x_0_49)</f>
        <v>435</v>
      </c>
      <c r="CY97" s="1">
        <f>IFERROR(CX97/CX$11,0)</f>
        <v>9.6484418320949318E-3</v>
      </c>
      <c r="CZ97" s="3">
        <f>SUM(OSRRefD93_0x_0_50)</f>
        <v>438</v>
      </c>
      <c r="DA97" s="1">
        <f>IFERROR(CZ97/CZ$11,0)</f>
        <v>9.5377044182653574E-3</v>
      </c>
      <c r="DB97" s="3">
        <f>SUM(OSRRefD93_0x_0_51)</f>
        <v>440</v>
      </c>
      <c r="DC97" s="1">
        <f>IFERROR(DB97/DB$11,0)</f>
        <v>9.4178082191780817E-3</v>
      </c>
      <c r="DD97" s="3">
        <f>SUM(OSRRefF93_0x_0)</f>
        <v>22311</v>
      </c>
      <c r="DE97" s="1">
        <f>IFERROR(DD97/DD$11,0)</f>
        <v>9.9767874574462796E-3</v>
      </c>
      <c r="DF97" s="28"/>
    </row>
    <row r="98" spans="2:110" outlineLevel="1" x14ac:dyDescent="0.25">
      <c r="D98" s="5"/>
      <c r="E98" s="2"/>
      <c r="F98" s="5"/>
      <c r="G98" s="2"/>
      <c r="H98" s="5"/>
      <c r="I98" s="2"/>
      <c r="J98" s="5"/>
      <c r="K98" s="2"/>
      <c r="L98" s="5"/>
      <c r="M98" s="2"/>
      <c r="N98" s="5"/>
      <c r="O98" s="2"/>
      <c r="P98" s="5"/>
      <c r="Q98" s="2"/>
      <c r="R98" s="5"/>
      <c r="S98" s="2"/>
      <c r="T98" s="5"/>
      <c r="U98" s="2"/>
      <c r="V98" s="5"/>
      <c r="W98" s="2"/>
      <c r="X98" s="5"/>
      <c r="Y98" s="2"/>
      <c r="Z98" s="5"/>
      <c r="AA98" s="2"/>
      <c r="AB98" s="5"/>
      <c r="AC98" s="2"/>
      <c r="AD98" s="5"/>
      <c r="AE98" s="2"/>
      <c r="AF98" s="5"/>
      <c r="AG98" s="2"/>
      <c r="AH98" s="5"/>
      <c r="AI98" s="2"/>
      <c r="AJ98" s="5"/>
      <c r="AK98" s="2"/>
      <c r="AL98" s="5"/>
      <c r="AM98" s="2"/>
      <c r="AN98" s="5"/>
      <c r="AO98" s="2"/>
      <c r="AP98" s="5"/>
      <c r="AQ98" s="2"/>
      <c r="AR98" s="5"/>
      <c r="AS98" s="2"/>
      <c r="AT98" s="5"/>
      <c r="AU98" s="2"/>
      <c r="AV98" s="5"/>
      <c r="AW98" s="2"/>
      <c r="AX98" s="5"/>
      <c r="AY98" s="2"/>
      <c r="AZ98" s="5"/>
      <c r="BA98" s="2"/>
      <c r="BB98" s="5"/>
      <c r="BC98" s="2"/>
      <c r="BD98" s="5"/>
      <c r="BE98" s="2"/>
      <c r="BF98" s="5"/>
      <c r="BG98" s="2"/>
      <c r="BH98" s="5"/>
      <c r="BI98" s="2"/>
      <c r="BJ98" s="5"/>
      <c r="BK98" s="2"/>
      <c r="BL98" s="5"/>
      <c r="BM98" s="2"/>
      <c r="BN98" s="5"/>
      <c r="BO98" s="2"/>
      <c r="BP98" s="5"/>
      <c r="BQ98" s="2"/>
      <c r="BR98" s="5"/>
      <c r="BS98" s="2"/>
      <c r="BT98" s="5"/>
      <c r="BU98" s="2"/>
      <c r="BV98" s="5"/>
      <c r="BW98" s="2"/>
      <c r="BX98" s="5"/>
      <c r="BY98" s="2"/>
      <c r="BZ98" s="5"/>
      <c r="CA98" s="2"/>
      <c r="CB98" s="5"/>
      <c r="CC98" s="2"/>
      <c r="CD98" s="5"/>
      <c r="CE98" s="2"/>
      <c r="CF98" s="5"/>
      <c r="CG98" s="2"/>
      <c r="CH98" s="5"/>
      <c r="CI98" s="2"/>
      <c r="CJ98" s="5"/>
      <c r="CK98" s="2"/>
      <c r="CL98" s="5"/>
      <c r="CM98" s="2"/>
      <c r="CN98" s="5"/>
      <c r="CO98" s="2"/>
      <c r="CP98" s="5"/>
      <c r="CQ98" s="2"/>
      <c r="CR98" s="5"/>
      <c r="CS98" s="2"/>
      <c r="CT98" s="5"/>
      <c r="CU98" s="2"/>
      <c r="CV98" s="5"/>
      <c r="CW98" s="2"/>
      <c r="CX98" s="5"/>
      <c r="CY98" s="2"/>
      <c r="CZ98" s="5"/>
      <c r="DA98" s="2"/>
      <c r="DB98" s="5"/>
      <c r="DC98" s="2"/>
      <c r="DD98" s="5"/>
      <c r="DE98" s="2"/>
      <c r="DF98" s="28"/>
    </row>
    <row r="99" spans="2:110" outlineLevel="1" x14ac:dyDescent="0.25">
      <c r="B99">
        <v>54100</v>
      </c>
      <c r="C99" t="s">
        <v>57</v>
      </c>
      <c r="D99" s="5">
        <f>IFERROR(560,0)</f>
        <v>560</v>
      </c>
      <c r="E99" s="4">
        <f t="shared" ref="E99:E100" si="318">IFERROR(D99/D$11,0)</f>
        <v>1.4831686839526445E-2</v>
      </c>
      <c r="F99" s="5">
        <f>IFERROR(560,0)</f>
        <v>560</v>
      </c>
      <c r="G99" s="4">
        <f t="shared" ref="G99:G100" si="319">IFERROR(F99/F$11,0)</f>
        <v>1.4796417153275029E-2</v>
      </c>
      <c r="H99" s="5">
        <f>IFERROR(560,0)</f>
        <v>560</v>
      </c>
      <c r="I99" s="4">
        <f t="shared" ref="I99:I100" si="320">IFERROR(H99/H$11,0)</f>
        <v>1.7137436117146618E-2</v>
      </c>
      <c r="J99" s="5">
        <f>IFERROR(560,0)</f>
        <v>560</v>
      </c>
      <c r="K99" s="4">
        <f t="shared" ref="K99:K100" si="321">IFERROR(J99/J$11,0)</f>
        <v>1.466237268609431E-2</v>
      </c>
      <c r="L99" s="5">
        <f>IFERROR(560,0)</f>
        <v>560</v>
      </c>
      <c r="M99" s="4">
        <f t="shared" ref="M99:M100" si="322">IFERROR(L99/L$11,0)</f>
        <v>1.3840146310118135E-2</v>
      </c>
      <c r="N99" s="5">
        <f>IFERROR(560,0)</f>
        <v>560</v>
      </c>
      <c r="O99" s="4">
        <f t="shared" ref="O99:O100" si="323">IFERROR(N99/N$11,0)</f>
        <v>1.3944917575576473E-2</v>
      </c>
      <c r="P99" s="5">
        <f>IFERROR(560,0)</f>
        <v>560</v>
      </c>
      <c r="Q99" s="4">
        <f t="shared" ref="Q99:Q100" si="324">IFERROR(P99/P$11,0)</f>
        <v>1.0094637223974764E-2</v>
      </c>
      <c r="R99" s="5">
        <f>IFERROR(560,0)</f>
        <v>560</v>
      </c>
      <c r="S99" s="4">
        <f t="shared" ref="S99:S100" si="325">IFERROR(R99/R$11,0)</f>
        <v>1.0192010192010192E-2</v>
      </c>
      <c r="T99" s="5">
        <f>IFERROR(560,0)</f>
        <v>560</v>
      </c>
      <c r="U99" s="4">
        <f t="shared" ref="U99:U100" si="326">IFERROR(T99/T$11,0)</f>
        <v>1.0359818703172695E-2</v>
      </c>
      <c r="V99" s="5">
        <f>IFERROR(560,0)</f>
        <v>560</v>
      </c>
      <c r="W99" s="4">
        <f t="shared" ref="W99:W100" si="327">IFERROR(V99/V$11,0)</f>
        <v>1.0027755394395202E-2</v>
      </c>
      <c r="X99" s="5">
        <f>IFERROR(560,0)</f>
        <v>560</v>
      </c>
      <c r="Y99" s="4">
        <f t="shared" ref="Y99:Y100" si="328">IFERROR(X99/X$11,0)</f>
        <v>1.0545742156604272E-2</v>
      </c>
      <c r="Z99" s="5">
        <f>IFERROR(560,0)</f>
        <v>560</v>
      </c>
      <c r="AA99" s="4">
        <f t="shared" ref="AA99:AA100" si="329">IFERROR(Z99/Z$11,0)</f>
        <v>1.1078140454995054E-2</v>
      </c>
      <c r="AB99" s="5">
        <f>IFERROR(560,0)</f>
        <v>560</v>
      </c>
      <c r="AC99" s="4">
        <f t="shared" ref="AC99:AC100" si="330">IFERROR(AB99/AB$11,0)</f>
        <v>1.0603650685450276E-2</v>
      </c>
      <c r="AD99" s="5">
        <f>IFERROR(560,0)</f>
        <v>560</v>
      </c>
      <c r="AE99" s="4">
        <f t="shared" ref="AE99:AE100" si="331">IFERROR(AD99/AD$11,0)</f>
        <v>1.1660350643401492E-2</v>
      </c>
      <c r="AF99" s="5">
        <f>IFERROR(560,0)</f>
        <v>560</v>
      </c>
      <c r="AG99" s="4">
        <f t="shared" ref="AG99:AG100" si="332">IFERROR(AF99/AF$11,0)</f>
        <v>1.1341083073433513E-2</v>
      </c>
      <c r="AH99" s="5">
        <f>IFERROR(560,0)</f>
        <v>560</v>
      </c>
      <c r="AI99" s="4">
        <f t="shared" ref="AI99:AI100" si="333">IFERROR(AH99/AH$11,0)</f>
        <v>1.3932774363695171E-2</v>
      </c>
      <c r="AJ99" s="5">
        <f>IFERROR(560,0)</f>
        <v>560</v>
      </c>
      <c r="AK99" s="4">
        <f t="shared" ref="AK99:AK100" si="334">IFERROR(AJ99/AJ$11,0)</f>
        <v>1.1632496209052575E-2</v>
      </c>
      <c r="AL99" s="5">
        <f>IFERROR(560,0)</f>
        <v>560</v>
      </c>
      <c r="AM99" s="4">
        <f t="shared" ref="AM99:AM100" si="335">IFERROR(AL99/AL$11,0)</f>
        <v>1.2468550308373967E-2</v>
      </c>
      <c r="AN99" s="5">
        <f>IFERROR(560,0)</f>
        <v>560</v>
      </c>
      <c r="AO99" s="4">
        <f t="shared" ref="AO99:AO100" si="336">IFERROR(AN99/AN$11,0)</f>
        <v>1.0232983097304705E-2</v>
      </c>
      <c r="AP99" s="5">
        <f>IFERROR(560,0)</f>
        <v>560</v>
      </c>
      <c r="AQ99" s="4">
        <f t="shared" ref="AQ99:AQ100" si="337">IFERROR(AP99/AP$11,0)</f>
        <v>1.1376333164042662E-2</v>
      </c>
      <c r="AR99" s="5">
        <f>IFERROR(560,0)</f>
        <v>560</v>
      </c>
      <c r="AS99" s="4">
        <f t="shared" ref="AS99:AS100" si="338">IFERROR(AR99/AR$11,0)</f>
        <v>1.101126688558114E-2</v>
      </c>
      <c r="AT99" s="5">
        <f>IFERROR(560,0)</f>
        <v>560</v>
      </c>
      <c r="AU99" s="4">
        <f t="shared" ref="AU99:AU100" si="339">IFERROR(AT99/AT$11,0)</f>
        <v>1.1623562621943626E-2</v>
      </c>
      <c r="AV99" s="5">
        <f>IFERROR(560,0)</f>
        <v>560</v>
      </c>
      <c r="AW99" s="4">
        <f t="shared" ref="AW99:AW100" si="340">IFERROR(AV99/AV$11,0)</f>
        <v>1.3588604984106186E-2</v>
      </c>
      <c r="AX99" s="5">
        <f>IFERROR(560,0)</f>
        <v>560</v>
      </c>
      <c r="AY99" s="4">
        <f t="shared" ref="AY99:AY100" si="341">IFERROR(AX99/AX$11,0)</f>
        <v>1.0881815708678248E-2</v>
      </c>
      <c r="AZ99" s="5">
        <f>IFERROR(560,0)</f>
        <v>560</v>
      </c>
      <c r="BA99" s="4">
        <f t="shared" ref="BA99:BA100" si="342">IFERROR(AZ99/AZ$11,0)</f>
        <v>1.3463156629402572E-2</v>
      </c>
      <c r="BB99" s="5">
        <f>IFERROR(560,0)</f>
        <v>560</v>
      </c>
      <c r="BC99" s="4">
        <f t="shared" ref="BC99:BC100" si="343">IFERROR(BB99/BB$11,0)</f>
        <v>1.2900550577069271E-2</v>
      </c>
      <c r="BD99" s="5">
        <f>IFERROR(560,0)</f>
        <v>560</v>
      </c>
      <c r="BE99" s="4">
        <f t="shared" ref="BE99:BE100" si="344">IFERROR(BD99/BD$11,0)</f>
        <v>1.4032625855113138E-2</v>
      </c>
      <c r="BF99" s="5">
        <f>IFERROR(560,0)</f>
        <v>560</v>
      </c>
      <c r="BG99" s="4">
        <f t="shared" ref="BG99:BG100" si="345">IFERROR(BF99/BF$11,0)</f>
        <v>1.4377037816744114E-2</v>
      </c>
      <c r="BH99" s="5">
        <f>IFERROR(560,0)</f>
        <v>560</v>
      </c>
      <c r="BI99" s="4">
        <f t="shared" ref="BI99:BI100" si="346">IFERROR(BH99/BH$11,0)</f>
        <v>1.4849384811200678E-2</v>
      </c>
      <c r="BJ99" s="5">
        <f>IFERROR(560,0)</f>
        <v>560</v>
      </c>
      <c r="BK99" s="4">
        <f t="shared" ref="BK99:BK100" si="347">IFERROR(BJ99/BJ$11,0)</f>
        <v>1.4475895049760889E-2</v>
      </c>
      <c r="BL99" s="5">
        <f>IFERROR(560,0)</f>
        <v>560</v>
      </c>
      <c r="BM99" s="4">
        <f t="shared" ref="BM99:BM100" si="348">IFERROR(BL99/BL$11,0)</f>
        <v>1.3095432967752497E-2</v>
      </c>
      <c r="BN99" s="5">
        <f>IFERROR(560,0)</f>
        <v>560</v>
      </c>
      <c r="BO99" s="4">
        <f t="shared" ref="BO99:BO100" si="349">IFERROR(BN99/BN$11,0)</f>
        <v>1.3975891587012403E-2</v>
      </c>
      <c r="BP99" s="5">
        <f>IFERROR(560,0)</f>
        <v>560</v>
      </c>
      <c r="BQ99" s="4">
        <f t="shared" ref="BQ99:BQ100" si="350">IFERROR(BP99/BP$11,0)</f>
        <v>1.5795114796637897E-2</v>
      </c>
      <c r="BR99" s="5">
        <f>IFERROR(560,0)</f>
        <v>560</v>
      </c>
      <c r="BS99" s="4">
        <f t="shared" ref="BS99:BS100" si="351">IFERROR(BR99/BR$11,0)</f>
        <v>1.6878145815124024E-2</v>
      </c>
      <c r="BT99" s="5">
        <f>IFERROR(560,0)</f>
        <v>560</v>
      </c>
      <c r="BU99" s="4">
        <f t="shared" ref="BU99:BU100" si="352">IFERROR(BT99/BT$11,0)</f>
        <v>1.3125512715340444E-2</v>
      </c>
      <c r="BV99" s="5">
        <f>IFERROR(560,0)</f>
        <v>560</v>
      </c>
      <c r="BW99" s="4">
        <f t="shared" ref="BW99:BW100" si="353">IFERROR(BV99/BV$11,0)</f>
        <v>1.6355140186915886E-2</v>
      </c>
      <c r="BX99" s="5">
        <f>IFERROR(560,0)</f>
        <v>560</v>
      </c>
      <c r="BY99" s="4">
        <f t="shared" ref="BY99:BY100" si="354">IFERROR(BX99/BX$11,0)</f>
        <v>1.5022265142979774E-2</v>
      </c>
      <c r="BZ99" s="5">
        <f>IFERROR(560,0)</f>
        <v>560</v>
      </c>
      <c r="CA99" s="4">
        <f t="shared" ref="CA99:CA100" si="355">IFERROR(BZ99/BZ$11,0)</f>
        <v>1.7054452430259472E-2</v>
      </c>
      <c r="CB99" s="5">
        <f>IFERROR(560,0)</f>
        <v>560</v>
      </c>
      <c r="CC99" s="4">
        <f t="shared" ref="CC99:CC100" si="356">IFERROR(CB99/CB$11,0)</f>
        <v>1.5051335806052788E-2</v>
      </c>
      <c r="CD99" s="5">
        <f>IFERROR(560,0)</f>
        <v>560</v>
      </c>
      <c r="CE99" s="4">
        <f t="shared" ref="CE99:CE100" si="357">IFERROR(CD99/CD$11,0)</f>
        <v>1.499330655957162E-2</v>
      </c>
      <c r="CF99" s="5">
        <f>IFERROR(560,0)</f>
        <v>560</v>
      </c>
      <c r="CG99" s="4">
        <f t="shared" ref="CG99:CG100" si="358">IFERROR(CF99/CF$11,0)</f>
        <v>1.4652014652014652E-2</v>
      </c>
      <c r="CH99" s="5">
        <f>IFERROR(560,0)</f>
        <v>560</v>
      </c>
      <c r="CI99" s="4">
        <f t="shared" ref="CI99:CI100" si="359">IFERROR(CH99/CH$11,0)</f>
        <v>1.4303228442991417E-2</v>
      </c>
      <c r="CJ99" s="5">
        <f>IFERROR(560,0)</f>
        <v>560</v>
      </c>
      <c r="CK99" s="4">
        <f t="shared" ref="CK99:CK100" si="360">IFERROR(CJ99/CJ$11,0)</f>
        <v>1.3445378151260505E-2</v>
      </c>
      <c r="CL99" s="5">
        <f>IFERROR(560,0)</f>
        <v>560</v>
      </c>
      <c r="CM99" s="4">
        <f t="shared" ref="CM99:CM100" si="361">IFERROR(CL99/CL$11,0)</f>
        <v>1.2422635817121054E-2</v>
      </c>
      <c r="CN99" s="5">
        <f>IFERROR(560,0)</f>
        <v>560</v>
      </c>
      <c r="CO99" s="4">
        <f t="shared" ref="CO99:CO100" si="362">IFERROR(CN99/CN$11,0)</f>
        <v>1.3582013533506342E-2</v>
      </c>
      <c r="CP99" s="5">
        <f>IFERROR(560,0)</f>
        <v>560</v>
      </c>
      <c r="CQ99" s="4">
        <f t="shared" ref="CQ99:CQ100" si="363">IFERROR(CP99/CP$11,0)</f>
        <v>1.4140342903315405E-2</v>
      </c>
      <c r="CR99" s="5">
        <f>IFERROR(560,0)</f>
        <v>560</v>
      </c>
      <c r="CS99" s="4">
        <f t="shared" ref="CS99:CS100" si="364">IFERROR(CR99/CR$11,0)</f>
        <v>1.7011452352744615E-2</v>
      </c>
      <c r="CT99" s="5">
        <f>IFERROR(560,0)</f>
        <v>560</v>
      </c>
      <c r="CU99" s="4">
        <f t="shared" ref="CU99:CU100" si="365">IFERROR(CT99/CT$11,0)</f>
        <v>1.4653931702211173E-2</v>
      </c>
      <c r="CV99" s="5">
        <f>IFERROR(560,0)</f>
        <v>560</v>
      </c>
      <c r="CW99" s="4">
        <f t="shared" ref="CW99:CW100" si="366">IFERROR(CV99/CV$11,0)</f>
        <v>1.435602953240361E-2</v>
      </c>
      <c r="CX99" s="5">
        <f>IFERROR(560,0)</f>
        <v>560</v>
      </c>
      <c r="CY99" s="4">
        <f t="shared" ref="CY99:CY100" si="367">IFERROR(CX99/CX$11,0)</f>
        <v>1.2420982588444051E-2</v>
      </c>
      <c r="CZ99" s="5">
        <f>IFERROR(560,0)</f>
        <v>560</v>
      </c>
      <c r="DA99" s="4">
        <f t="shared" ref="DA99:DA100" si="368">IFERROR(CZ99/CZ$11,0)</f>
        <v>1.219432528362694E-2</v>
      </c>
      <c r="DB99" s="5">
        <f>IFERROR(560,0)</f>
        <v>560</v>
      </c>
      <c r="DC99" s="4">
        <f t="shared" ref="DC99:DC100" si="369">IFERROR(DB99/DB$11,0)</f>
        <v>1.1986301369863013E-2</v>
      </c>
      <c r="DD99" s="5">
        <f>SUM(OSRRefD93_1_0x_0)</f>
        <v>29120</v>
      </c>
      <c r="DE99" s="4">
        <f t="shared" ref="DE99:DE100" si="370">IFERROR(DD99/DD$11,0)</f>
        <v>1.3021561147453529E-2</v>
      </c>
      <c r="DF99" s="28"/>
    </row>
    <row r="100" spans="2:110" x14ac:dyDescent="0.25">
      <c r="C100" s="31" t="str">
        <f>"TOTAL " &amp; "Cleaning"</f>
        <v>TOTAL Cleaning</v>
      </c>
      <c r="D100" s="3">
        <f>SUM(OSRRefD93_1x_0_0)</f>
        <v>560</v>
      </c>
      <c r="E100" s="1">
        <f t="shared" si="318"/>
        <v>1.4831686839526445E-2</v>
      </c>
      <c r="F100" s="3">
        <f>SUM(OSRRefD93_1x_0_1)</f>
        <v>560</v>
      </c>
      <c r="G100" s="1">
        <f t="shared" si="319"/>
        <v>1.4796417153275029E-2</v>
      </c>
      <c r="H100" s="3">
        <f>SUM(OSRRefD93_1x_0_2)</f>
        <v>560</v>
      </c>
      <c r="I100" s="1">
        <f t="shared" si="320"/>
        <v>1.7137436117146618E-2</v>
      </c>
      <c r="J100" s="3">
        <f>SUM(OSRRefD93_1x_0_3)</f>
        <v>560</v>
      </c>
      <c r="K100" s="1">
        <f t="shared" si="321"/>
        <v>1.466237268609431E-2</v>
      </c>
      <c r="L100" s="3">
        <f>SUM(OSRRefD93_1x_0_4)</f>
        <v>560</v>
      </c>
      <c r="M100" s="1">
        <f t="shared" si="322"/>
        <v>1.3840146310118135E-2</v>
      </c>
      <c r="N100" s="3">
        <f>SUM(OSRRefD93_1x_0_5)</f>
        <v>560</v>
      </c>
      <c r="O100" s="1">
        <f t="shared" si="323"/>
        <v>1.3944917575576473E-2</v>
      </c>
      <c r="P100" s="3">
        <f>SUM(OSRRefD93_1x_0_6)</f>
        <v>560</v>
      </c>
      <c r="Q100" s="1">
        <f t="shared" si="324"/>
        <v>1.0094637223974764E-2</v>
      </c>
      <c r="R100" s="3">
        <f>SUM(OSRRefD93_1x_0_7)</f>
        <v>560</v>
      </c>
      <c r="S100" s="1">
        <f t="shared" si="325"/>
        <v>1.0192010192010192E-2</v>
      </c>
      <c r="T100" s="3">
        <f>SUM(OSRRefD93_1x_0_8)</f>
        <v>560</v>
      </c>
      <c r="U100" s="1">
        <f t="shared" si="326"/>
        <v>1.0359818703172695E-2</v>
      </c>
      <c r="V100" s="3">
        <f>SUM(OSRRefD93_1x_0_9)</f>
        <v>560</v>
      </c>
      <c r="W100" s="1">
        <f t="shared" si="327"/>
        <v>1.0027755394395202E-2</v>
      </c>
      <c r="X100" s="3">
        <f>SUM(OSRRefD93_1x_0_10)</f>
        <v>560</v>
      </c>
      <c r="Y100" s="1">
        <f t="shared" si="328"/>
        <v>1.0545742156604272E-2</v>
      </c>
      <c r="Z100" s="3">
        <f>SUM(OSRRefD93_1x_0_11)</f>
        <v>560</v>
      </c>
      <c r="AA100" s="1">
        <f t="shared" si="329"/>
        <v>1.1078140454995054E-2</v>
      </c>
      <c r="AB100" s="3">
        <f>SUM(OSRRefD93_1x_0_12)</f>
        <v>560</v>
      </c>
      <c r="AC100" s="1">
        <f t="shared" si="330"/>
        <v>1.0603650685450276E-2</v>
      </c>
      <c r="AD100" s="3">
        <f>SUM(OSRRefD93_1x_0_13)</f>
        <v>560</v>
      </c>
      <c r="AE100" s="1">
        <f t="shared" si="331"/>
        <v>1.1660350643401492E-2</v>
      </c>
      <c r="AF100" s="3">
        <f>SUM(OSRRefD93_1x_0_14)</f>
        <v>560</v>
      </c>
      <c r="AG100" s="1">
        <f t="shared" si="332"/>
        <v>1.1341083073433513E-2</v>
      </c>
      <c r="AH100" s="3">
        <f>SUM(OSRRefD93_1x_0_15)</f>
        <v>560</v>
      </c>
      <c r="AI100" s="1">
        <f t="shared" si="333"/>
        <v>1.3932774363695171E-2</v>
      </c>
      <c r="AJ100" s="3">
        <f>SUM(OSRRefD93_1x_0_16)</f>
        <v>560</v>
      </c>
      <c r="AK100" s="1">
        <f t="shared" si="334"/>
        <v>1.1632496209052575E-2</v>
      </c>
      <c r="AL100" s="3">
        <f>SUM(OSRRefD93_1x_0_17)</f>
        <v>560</v>
      </c>
      <c r="AM100" s="1">
        <f t="shared" si="335"/>
        <v>1.2468550308373967E-2</v>
      </c>
      <c r="AN100" s="3">
        <f>SUM(OSRRefD93_1x_0_18)</f>
        <v>560</v>
      </c>
      <c r="AO100" s="1">
        <f t="shared" si="336"/>
        <v>1.0232983097304705E-2</v>
      </c>
      <c r="AP100" s="3">
        <f>SUM(OSRRefD93_1x_0_19)</f>
        <v>560</v>
      </c>
      <c r="AQ100" s="1">
        <f t="shared" si="337"/>
        <v>1.1376333164042662E-2</v>
      </c>
      <c r="AR100" s="3">
        <f>SUM(OSRRefD93_1x_0_20)</f>
        <v>560</v>
      </c>
      <c r="AS100" s="1">
        <f t="shared" si="338"/>
        <v>1.101126688558114E-2</v>
      </c>
      <c r="AT100" s="3">
        <f>SUM(OSRRefD93_1x_0_21)</f>
        <v>560</v>
      </c>
      <c r="AU100" s="1">
        <f t="shared" si="339"/>
        <v>1.1623562621943626E-2</v>
      </c>
      <c r="AV100" s="3">
        <f>SUM(OSRRefD93_1x_0_22)</f>
        <v>560</v>
      </c>
      <c r="AW100" s="1">
        <f t="shared" si="340"/>
        <v>1.3588604984106186E-2</v>
      </c>
      <c r="AX100" s="3">
        <f>SUM(OSRRefD93_1x_0_23)</f>
        <v>560</v>
      </c>
      <c r="AY100" s="1">
        <f t="shared" si="341"/>
        <v>1.0881815708678248E-2</v>
      </c>
      <c r="AZ100" s="3">
        <f>SUM(OSRRefD93_1x_0_24)</f>
        <v>560</v>
      </c>
      <c r="BA100" s="1">
        <f t="shared" si="342"/>
        <v>1.3463156629402572E-2</v>
      </c>
      <c r="BB100" s="3">
        <f>SUM(OSRRefD93_1x_0_25)</f>
        <v>560</v>
      </c>
      <c r="BC100" s="1">
        <f t="shared" si="343"/>
        <v>1.2900550577069271E-2</v>
      </c>
      <c r="BD100" s="3">
        <f>SUM(OSRRefD93_1x_0_26)</f>
        <v>560</v>
      </c>
      <c r="BE100" s="1">
        <f t="shared" si="344"/>
        <v>1.4032625855113138E-2</v>
      </c>
      <c r="BF100" s="3">
        <f>SUM(OSRRefD93_1x_0_27)</f>
        <v>560</v>
      </c>
      <c r="BG100" s="1">
        <f t="shared" si="345"/>
        <v>1.4377037816744114E-2</v>
      </c>
      <c r="BH100" s="3">
        <f>SUM(OSRRefD93_1x_0_28)</f>
        <v>560</v>
      </c>
      <c r="BI100" s="1">
        <f t="shared" si="346"/>
        <v>1.4849384811200678E-2</v>
      </c>
      <c r="BJ100" s="3">
        <f>SUM(OSRRefD93_1x_0_29)</f>
        <v>560</v>
      </c>
      <c r="BK100" s="1">
        <f t="shared" si="347"/>
        <v>1.4475895049760889E-2</v>
      </c>
      <c r="BL100" s="3">
        <f>SUM(OSRRefD93_1x_0_30)</f>
        <v>560</v>
      </c>
      <c r="BM100" s="1">
        <f t="shared" si="348"/>
        <v>1.3095432967752497E-2</v>
      </c>
      <c r="BN100" s="3">
        <f>SUM(OSRRefD93_1x_0_31)</f>
        <v>560</v>
      </c>
      <c r="BO100" s="1">
        <f t="shared" si="349"/>
        <v>1.3975891587012403E-2</v>
      </c>
      <c r="BP100" s="3">
        <f>SUM(OSRRefD93_1x_0_32)</f>
        <v>560</v>
      </c>
      <c r="BQ100" s="1">
        <f t="shared" si="350"/>
        <v>1.5795114796637897E-2</v>
      </c>
      <c r="BR100" s="3">
        <f>SUM(OSRRefD93_1x_0_33)</f>
        <v>560</v>
      </c>
      <c r="BS100" s="1">
        <f t="shared" si="351"/>
        <v>1.6878145815124024E-2</v>
      </c>
      <c r="BT100" s="3">
        <f>SUM(OSRRefD93_1x_0_34)</f>
        <v>560</v>
      </c>
      <c r="BU100" s="1">
        <f t="shared" si="352"/>
        <v>1.3125512715340444E-2</v>
      </c>
      <c r="BV100" s="3">
        <f>SUM(OSRRefD93_1x_0_35)</f>
        <v>560</v>
      </c>
      <c r="BW100" s="1">
        <f t="shared" si="353"/>
        <v>1.6355140186915886E-2</v>
      </c>
      <c r="BX100" s="3">
        <f>SUM(OSRRefD93_1x_0_36)</f>
        <v>560</v>
      </c>
      <c r="BY100" s="1">
        <f t="shared" si="354"/>
        <v>1.5022265142979774E-2</v>
      </c>
      <c r="BZ100" s="3">
        <f>SUM(OSRRefD93_1x_0_37)</f>
        <v>560</v>
      </c>
      <c r="CA100" s="1">
        <f t="shared" si="355"/>
        <v>1.7054452430259472E-2</v>
      </c>
      <c r="CB100" s="3">
        <f>SUM(OSRRefD93_1x_0_38)</f>
        <v>560</v>
      </c>
      <c r="CC100" s="1">
        <f t="shared" si="356"/>
        <v>1.5051335806052788E-2</v>
      </c>
      <c r="CD100" s="3">
        <f>SUM(OSRRefD93_1x_0_39)</f>
        <v>560</v>
      </c>
      <c r="CE100" s="1">
        <f t="shared" si="357"/>
        <v>1.499330655957162E-2</v>
      </c>
      <c r="CF100" s="3">
        <f>SUM(OSRRefD93_1x_0_40)</f>
        <v>560</v>
      </c>
      <c r="CG100" s="1">
        <f t="shared" si="358"/>
        <v>1.4652014652014652E-2</v>
      </c>
      <c r="CH100" s="3">
        <f>SUM(OSRRefD93_1x_0_41)</f>
        <v>560</v>
      </c>
      <c r="CI100" s="1">
        <f t="shared" si="359"/>
        <v>1.4303228442991417E-2</v>
      </c>
      <c r="CJ100" s="3">
        <f>SUM(OSRRefD93_1x_0_42)</f>
        <v>560</v>
      </c>
      <c r="CK100" s="1">
        <f t="shared" si="360"/>
        <v>1.3445378151260505E-2</v>
      </c>
      <c r="CL100" s="3">
        <f>SUM(OSRRefD93_1x_0_43)</f>
        <v>560</v>
      </c>
      <c r="CM100" s="1">
        <f t="shared" si="361"/>
        <v>1.2422635817121054E-2</v>
      </c>
      <c r="CN100" s="3">
        <f>SUM(OSRRefD93_1x_0_44)</f>
        <v>560</v>
      </c>
      <c r="CO100" s="1">
        <f t="shared" si="362"/>
        <v>1.3582013533506342E-2</v>
      </c>
      <c r="CP100" s="3">
        <f>SUM(OSRRefD93_1x_0_45)</f>
        <v>560</v>
      </c>
      <c r="CQ100" s="1">
        <f t="shared" si="363"/>
        <v>1.4140342903315405E-2</v>
      </c>
      <c r="CR100" s="3">
        <f>SUM(OSRRefD93_1x_0_46)</f>
        <v>560</v>
      </c>
      <c r="CS100" s="1">
        <f t="shared" si="364"/>
        <v>1.7011452352744615E-2</v>
      </c>
      <c r="CT100" s="3">
        <f>SUM(OSRRefD93_1x_0_47)</f>
        <v>560</v>
      </c>
      <c r="CU100" s="1">
        <f t="shared" si="365"/>
        <v>1.4653931702211173E-2</v>
      </c>
      <c r="CV100" s="3">
        <f>SUM(OSRRefD93_1x_0_48)</f>
        <v>560</v>
      </c>
      <c r="CW100" s="1">
        <f t="shared" si="366"/>
        <v>1.435602953240361E-2</v>
      </c>
      <c r="CX100" s="3">
        <f>SUM(OSRRefD93_1x_0_49)</f>
        <v>560</v>
      </c>
      <c r="CY100" s="1">
        <f t="shared" si="367"/>
        <v>1.2420982588444051E-2</v>
      </c>
      <c r="CZ100" s="3">
        <f>SUM(OSRRefD93_1x_0_50)</f>
        <v>560</v>
      </c>
      <c r="DA100" s="1">
        <f t="shared" si="368"/>
        <v>1.219432528362694E-2</v>
      </c>
      <c r="DB100" s="3">
        <f>SUM(OSRRefD93_1x_0_51)</f>
        <v>560</v>
      </c>
      <c r="DC100" s="1">
        <f t="shared" si="369"/>
        <v>1.1986301369863013E-2</v>
      </c>
      <c r="DD100" s="3">
        <f>SUM(OSRRefF93_1x_0)</f>
        <v>29120</v>
      </c>
      <c r="DE100" s="1">
        <f t="shared" si="370"/>
        <v>1.3021561147453529E-2</v>
      </c>
      <c r="DF100" s="28"/>
    </row>
    <row r="101" spans="2:110" outlineLevel="1" x14ac:dyDescent="0.25">
      <c r="D101" s="5"/>
      <c r="E101" s="2"/>
      <c r="F101" s="5"/>
      <c r="G101" s="2"/>
      <c r="H101" s="5"/>
      <c r="I101" s="2"/>
      <c r="J101" s="5"/>
      <c r="K101" s="2"/>
      <c r="L101" s="5"/>
      <c r="M101" s="2"/>
      <c r="N101" s="5"/>
      <c r="O101" s="2"/>
      <c r="P101" s="5"/>
      <c r="Q101" s="2"/>
      <c r="R101" s="5"/>
      <c r="S101" s="2"/>
      <c r="T101" s="5"/>
      <c r="U101" s="2"/>
      <c r="V101" s="5"/>
      <c r="W101" s="2"/>
      <c r="X101" s="5"/>
      <c r="Y101" s="2"/>
      <c r="Z101" s="5"/>
      <c r="AA101" s="2"/>
      <c r="AB101" s="5"/>
      <c r="AC101" s="2"/>
      <c r="AD101" s="5"/>
      <c r="AE101" s="2"/>
      <c r="AF101" s="5"/>
      <c r="AG101" s="2"/>
      <c r="AH101" s="5"/>
      <c r="AI101" s="2"/>
      <c r="AJ101" s="5"/>
      <c r="AK101" s="2"/>
      <c r="AL101" s="5"/>
      <c r="AM101" s="2"/>
      <c r="AN101" s="5"/>
      <c r="AO101" s="2"/>
      <c r="AP101" s="5"/>
      <c r="AQ101" s="2"/>
      <c r="AR101" s="5"/>
      <c r="AS101" s="2"/>
      <c r="AT101" s="5"/>
      <c r="AU101" s="2"/>
      <c r="AV101" s="5"/>
      <c r="AW101" s="2"/>
      <c r="AX101" s="5"/>
      <c r="AY101" s="2"/>
      <c r="AZ101" s="5"/>
      <c r="BA101" s="2"/>
      <c r="BB101" s="5"/>
      <c r="BC101" s="2"/>
      <c r="BD101" s="5"/>
      <c r="BE101" s="2"/>
      <c r="BF101" s="5"/>
      <c r="BG101" s="2"/>
      <c r="BH101" s="5"/>
      <c r="BI101" s="2"/>
      <c r="BJ101" s="5"/>
      <c r="BK101" s="2"/>
      <c r="BL101" s="5"/>
      <c r="BM101" s="2"/>
      <c r="BN101" s="5"/>
      <c r="BO101" s="2"/>
      <c r="BP101" s="5"/>
      <c r="BQ101" s="2"/>
      <c r="BR101" s="5"/>
      <c r="BS101" s="2"/>
      <c r="BT101" s="5"/>
      <c r="BU101" s="2"/>
      <c r="BV101" s="5"/>
      <c r="BW101" s="2"/>
      <c r="BX101" s="5"/>
      <c r="BY101" s="2"/>
      <c r="BZ101" s="5"/>
      <c r="CA101" s="2"/>
      <c r="CB101" s="5"/>
      <c r="CC101" s="2"/>
      <c r="CD101" s="5"/>
      <c r="CE101" s="2"/>
      <c r="CF101" s="5"/>
      <c r="CG101" s="2"/>
      <c r="CH101" s="5"/>
      <c r="CI101" s="2"/>
      <c r="CJ101" s="5"/>
      <c r="CK101" s="2"/>
      <c r="CL101" s="5"/>
      <c r="CM101" s="2"/>
      <c r="CN101" s="5"/>
      <c r="CO101" s="2"/>
      <c r="CP101" s="5"/>
      <c r="CQ101" s="2"/>
      <c r="CR101" s="5"/>
      <c r="CS101" s="2"/>
      <c r="CT101" s="5"/>
      <c r="CU101" s="2"/>
      <c r="CV101" s="5"/>
      <c r="CW101" s="2"/>
      <c r="CX101" s="5"/>
      <c r="CY101" s="2"/>
      <c r="CZ101" s="5"/>
      <c r="DA101" s="2"/>
      <c r="DB101" s="5"/>
      <c r="DC101" s="2"/>
      <c r="DD101" s="5"/>
      <c r="DE101" s="2"/>
      <c r="DF101" s="28"/>
    </row>
    <row r="102" spans="2:110" outlineLevel="1" x14ac:dyDescent="0.25">
      <c r="B102">
        <v>53324</v>
      </c>
      <c r="C102" t="s">
        <v>58</v>
      </c>
      <c r="D102" s="5">
        <f>IFERROR(491,0)</f>
        <v>491</v>
      </c>
      <c r="E102" s="4">
        <f t="shared" ref="E102:E103" si="371">IFERROR(D102/D$11,0)</f>
        <v>1.3004211139656222E-2</v>
      </c>
      <c r="F102" s="5">
        <f>IFERROR(492,0)</f>
        <v>492</v>
      </c>
      <c r="G102" s="4">
        <f t="shared" ref="G102:G103" si="372">IFERROR(F102/F$11,0)</f>
        <v>1.2999709356091632E-2</v>
      </c>
      <c r="H102" s="5">
        <f>IFERROR(425,0)</f>
        <v>425</v>
      </c>
      <c r="I102" s="4">
        <f t="shared" ref="I102:I103" si="373">IFERROR(H102/H$11,0)</f>
        <v>1.3006089910334487E-2</v>
      </c>
      <c r="J102" s="5">
        <f>IFERROR(497,0)</f>
        <v>497</v>
      </c>
      <c r="K102" s="4">
        <f t="shared" ref="K102:K103" si="374">IFERROR(J102/J$11,0)</f>
        <v>1.30128557589087E-2</v>
      </c>
      <c r="L102" s="5">
        <f>IFERROR(526,0)</f>
        <v>526</v>
      </c>
      <c r="M102" s="4">
        <f t="shared" ref="M102:M103" si="375">IFERROR(L102/L$11,0)</f>
        <v>1.2999851712718107E-2</v>
      </c>
      <c r="N102" s="5">
        <f>IFERROR(522,0)</f>
        <v>522</v>
      </c>
      <c r="O102" s="4">
        <f t="shared" ref="O102:O103" si="376">IFERROR(N102/N$11,0)</f>
        <v>1.2998655311519497E-2</v>
      </c>
      <c r="P102" s="5">
        <f>IFERROR(721,0)</f>
        <v>721</v>
      </c>
      <c r="Q102" s="4">
        <f t="shared" ref="Q102:Q103" si="377">IFERROR(P102/P$11,0)</f>
        <v>1.2996845425867508E-2</v>
      </c>
      <c r="R102" s="5">
        <f>IFERROR(714,0)</f>
        <v>714</v>
      </c>
      <c r="S102" s="4">
        <f t="shared" ref="S102:S103" si="378">IFERROR(R102/R$11,0)</f>
        <v>1.2994812994812996E-2</v>
      </c>
      <c r="T102" s="5">
        <f>IFERROR(703,0)</f>
        <v>703</v>
      </c>
      <c r="U102" s="4">
        <f t="shared" ref="U102:U103" si="379">IFERROR(T102/T$11,0)</f>
        <v>1.3005272407732865E-2</v>
      </c>
      <c r="V102" s="5">
        <f>IFERROR(726,0)</f>
        <v>726</v>
      </c>
      <c r="W102" s="4">
        <f t="shared" ref="W102:W103" si="380">IFERROR(V102/V$11,0)</f>
        <v>1.3000268600590921E-2</v>
      </c>
      <c r="X102" s="5">
        <f>IFERROR(690,0)</f>
        <v>690</v>
      </c>
      <c r="Y102" s="4">
        <f t="shared" ref="Y102:Y103" si="381">IFERROR(X102/X$11,0)</f>
        <v>1.2993860871530262E-2</v>
      </c>
      <c r="Z102" s="5">
        <f>IFERROR(657,0)</f>
        <v>657</v>
      </c>
      <c r="AA102" s="4">
        <f t="shared" ref="AA102:AA103" si="382">IFERROR(Z102/Z$11,0)</f>
        <v>1.2997032640949554E-2</v>
      </c>
      <c r="AB102" s="5">
        <f>IFERROR(687,0)</f>
        <v>687</v>
      </c>
      <c r="AC102" s="4">
        <f t="shared" ref="AC102:AC103" si="383">IFERROR(AB102/AB$11,0)</f>
        <v>1.3008407180186322E-2</v>
      </c>
      <c r="AD102" s="5">
        <f>IFERROR(624,0)</f>
        <v>624</v>
      </c>
      <c r="AE102" s="4">
        <f t="shared" ref="AE102:AE103" si="384">IFERROR(AD102/AD$11,0)</f>
        <v>1.2992962145504518E-2</v>
      </c>
      <c r="AF102" s="5">
        <f>IFERROR(642,0)</f>
        <v>642</v>
      </c>
      <c r="AG102" s="4">
        <f t="shared" ref="AG102:AG103" si="385">IFERROR(AF102/AF$11,0)</f>
        <v>1.3001741666329135E-2</v>
      </c>
      <c r="AH102" s="5">
        <f>IFERROR(523,0)</f>
        <v>523</v>
      </c>
      <c r="AI102" s="4">
        <f t="shared" ref="AI102:AI103" si="386">IFERROR(AH102/AH$11,0)</f>
        <v>1.3012216057522454E-2</v>
      </c>
      <c r="AJ102" s="5">
        <f>IFERROR(626,0)</f>
        <v>626</v>
      </c>
      <c r="AK102" s="4">
        <f t="shared" ref="AK102:AK103" si="387">IFERROR(AJ102/AJ$11,0)</f>
        <v>1.3003468976548057E-2</v>
      </c>
      <c r="AL102" s="5">
        <f>IFERROR(584,0)</f>
        <v>584</v>
      </c>
      <c r="AM102" s="4">
        <f t="shared" ref="AM102:AM103" si="388">IFERROR(AL102/AL$11,0)</f>
        <v>1.3002916750161422E-2</v>
      </c>
      <c r="AN102" s="5">
        <f>IFERROR(711,0)</f>
        <v>711</v>
      </c>
      <c r="AO102" s="4">
        <f t="shared" ref="AO102:AO103" si="389">IFERROR(AN102/AN$11,0)</f>
        <v>1.299223389675651E-2</v>
      </c>
      <c r="AP102" s="5">
        <f>IFERROR(640,0)</f>
        <v>640</v>
      </c>
      <c r="AQ102" s="4">
        <f t="shared" ref="AQ102:AQ103" si="390">IFERROR(AP102/AP$11,0)</f>
        <v>1.3001523616048756E-2</v>
      </c>
      <c r="AR102" s="5">
        <f>IFERROR(661,0)</f>
        <v>661</v>
      </c>
      <c r="AS102" s="4">
        <f t="shared" ref="AS102:AS103" si="391">IFERROR(AR102/AR$11,0)</f>
        <v>1.2997227520302024E-2</v>
      </c>
      <c r="AT102" s="5">
        <f>IFERROR(626,0)</f>
        <v>626</v>
      </c>
      <c r="AU102" s="4">
        <f t="shared" ref="AU102:AU103" si="392">IFERROR(AT102/AT$11,0)</f>
        <v>1.2993482502386982E-2</v>
      </c>
      <c r="AV102" s="5">
        <f>IFERROR(536,0)</f>
        <v>536</v>
      </c>
      <c r="AW102" s="4">
        <f t="shared" ref="AW102:AW103" si="393">IFERROR(AV102/AV$11,0)</f>
        <v>1.3006236199073063E-2</v>
      </c>
      <c r="AX102" s="5">
        <f>IFERROR(669,0)</f>
        <v>669</v>
      </c>
      <c r="AY102" s="4">
        <f t="shared" ref="AY102:AY103" si="394">IFERROR(AX102/AX$11,0)</f>
        <v>1.2999883409117407E-2</v>
      </c>
      <c r="AZ102" s="5">
        <f>IFERROR(541,0)</f>
        <v>541</v>
      </c>
      <c r="BA102" s="4">
        <f t="shared" ref="BA102:BA103" si="395">IFERROR(AZ102/AZ$11,0)</f>
        <v>1.3006370958047842E-2</v>
      </c>
      <c r="BB102" s="5">
        <f>IFERROR(564,0)</f>
        <v>564</v>
      </c>
      <c r="BC102" s="4">
        <f t="shared" ref="BC102:BC103" si="396">IFERROR(BB102/BB$11,0)</f>
        <v>1.2992697366905481E-2</v>
      </c>
      <c r="BD102" s="5">
        <f>IFERROR(519,0)</f>
        <v>519</v>
      </c>
      <c r="BE102" s="4">
        <f t="shared" ref="BE102:BE103" si="397">IFERROR(BD102/BD$11,0)</f>
        <v>1.3005237176435211E-2</v>
      </c>
      <c r="BF102" s="5">
        <f>IFERROR(506,0)</f>
        <v>506</v>
      </c>
      <c r="BG102" s="4">
        <f t="shared" ref="BG102:BG103" si="398">IFERROR(BF102/BF$11,0)</f>
        <v>1.2990680598700932E-2</v>
      </c>
      <c r="BH102" s="5">
        <f>IFERROR(490,0)</f>
        <v>490</v>
      </c>
      <c r="BI102" s="4">
        <f t="shared" ref="BI102:BI103" si="399">IFERROR(BH102/BH$11,0)</f>
        <v>1.2993211709800594E-2</v>
      </c>
      <c r="BJ102" s="5">
        <f>IFERROR(503,0)</f>
        <v>503</v>
      </c>
      <c r="BK102" s="4">
        <f t="shared" ref="BK102:BK103" si="400">IFERROR(BJ102/BJ$11,0)</f>
        <v>1.3002455732195942E-2</v>
      </c>
      <c r="BL102" s="5">
        <f>IFERROR(556,0)</f>
        <v>556</v>
      </c>
      <c r="BM102" s="4">
        <f t="shared" ref="BM102:BM103" si="401">IFERROR(BL102/BL$11,0)</f>
        <v>1.3001894160839978E-2</v>
      </c>
      <c r="BN102" s="5">
        <f>IFERROR(521,0)</f>
        <v>521</v>
      </c>
      <c r="BO102" s="4">
        <f t="shared" ref="BO102:BO103" si="402">IFERROR(BN102/BN$11,0)</f>
        <v>1.300257056577404E-2</v>
      </c>
      <c r="BP102" s="5">
        <f>IFERROR(461,0)</f>
        <v>461</v>
      </c>
      <c r="BQ102" s="4">
        <f t="shared" ref="BQ102:BQ103" si="403">IFERROR(BP102/BP$11,0)</f>
        <v>1.3002764145089411E-2</v>
      </c>
      <c r="BR102" s="5">
        <f>IFERROR(431,0)</f>
        <v>431</v>
      </c>
      <c r="BS102" s="4">
        <f t="shared" ref="BS102:BS103" si="404">IFERROR(BR102/BR$11,0)</f>
        <v>1.2990144368425811E-2</v>
      </c>
      <c r="BT102" s="5">
        <f>IFERROR(555,0)</f>
        <v>555</v>
      </c>
      <c r="BU102" s="4">
        <f t="shared" ref="BU102:BU103" si="405">IFERROR(BT102/BT$11,0)</f>
        <v>1.3008320637524903E-2</v>
      </c>
      <c r="BV102" s="5">
        <f>IFERROR(445,0)</f>
        <v>445</v>
      </c>
      <c r="BW102" s="4">
        <f t="shared" ref="BW102:BW103" si="406">IFERROR(BV102/BV$11,0)</f>
        <v>1.2996495327102803E-2</v>
      </c>
      <c r="BX102" s="5">
        <f>IFERROR(485,0)</f>
        <v>485</v>
      </c>
      <c r="BY102" s="4">
        <f t="shared" ref="BY102:BY103" si="407">IFERROR(BX102/BX$11,0)</f>
        <v>1.3010354632759269E-2</v>
      </c>
      <c r="BZ102" s="5">
        <f>IFERROR(427,0)</f>
        <v>427</v>
      </c>
      <c r="CA102" s="4">
        <f t="shared" ref="CA102:CA103" si="408">IFERROR(BZ102/BZ$11,0)</f>
        <v>1.3004019978072847E-2</v>
      </c>
      <c r="CB102" s="5">
        <f>IFERROR(484,0)</f>
        <v>484</v>
      </c>
      <c r="CC102" s="4">
        <f t="shared" ref="CC102:CC103" si="409">IFERROR(CB102/CB$11,0)</f>
        <v>1.300865451808848E-2</v>
      </c>
      <c r="CD102" s="5">
        <f>IFERROR(486,0)</f>
        <v>486</v>
      </c>
      <c r="CE102" s="4">
        <f t="shared" ref="CE102:CE103" si="410">IFERROR(CD102/CD$11,0)</f>
        <v>1.3012048192771084E-2</v>
      </c>
      <c r="CF102" s="5">
        <f>IFERROR(497,0)</f>
        <v>497</v>
      </c>
      <c r="CG102" s="4">
        <f t="shared" ref="CG102:CG103" si="411">IFERROR(CF102/CF$11,0)</f>
        <v>1.3003663003663004E-2</v>
      </c>
      <c r="CH102" s="5">
        <f>IFERROR(509,0)</f>
        <v>509</v>
      </c>
      <c r="CI102" s="4">
        <f t="shared" ref="CI102:CI103" si="412">IFERROR(CH102/CH$11,0)</f>
        <v>1.3000612995504699E-2</v>
      </c>
      <c r="CJ102" s="5">
        <f>IFERROR(541,0)</f>
        <v>541</v>
      </c>
      <c r="CK102" s="4">
        <f t="shared" ref="CK102:CK103" si="413">IFERROR(CJ102/CJ$11,0)</f>
        <v>1.2989195678271309E-2</v>
      </c>
      <c r="CL102" s="5">
        <f>IFERROR(586,0)</f>
        <v>586</v>
      </c>
      <c r="CM102" s="4">
        <f t="shared" ref="CM102:CM103" si="414">IFERROR(CL102/CL$11,0)</f>
        <v>1.2999401051487388E-2</v>
      </c>
      <c r="CN102" s="5">
        <f>IFERROR(536,0)</f>
        <v>536</v>
      </c>
      <c r="CO102" s="4">
        <f t="shared" ref="CO102:CO103" si="415">IFERROR(CN102/CN$11,0)</f>
        <v>1.2999927239213213E-2</v>
      </c>
      <c r="CP102" s="5">
        <f>IFERROR(515,0)</f>
        <v>515</v>
      </c>
      <c r="CQ102" s="4">
        <f t="shared" ref="CQ102:CQ103" si="416">IFERROR(CP102/CP$11,0)</f>
        <v>1.3004065348584703E-2</v>
      </c>
      <c r="CR102" s="5">
        <f>IFERROR(428,0)</f>
        <v>428</v>
      </c>
      <c r="CS102" s="4">
        <f t="shared" ref="CS102:CS103" si="417">IFERROR(CR102/CR$11,0)</f>
        <v>1.3001610012454813E-2</v>
      </c>
      <c r="CT102" s="5">
        <f>IFERROR(497,0)</f>
        <v>497</v>
      </c>
      <c r="CU102" s="4">
        <f t="shared" ref="CU102:CU103" si="418">IFERROR(CT102/CT$11,0)</f>
        <v>1.3005364385712417E-2</v>
      </c>
      <c r="CV102" s="5">
        <f>IFERROR(507,0)</f>
        <v>507</v>
      </c>
      <c r="CW102" s="4">
        <f t="shared" ref="CW102:CW103" si="419">IFERROR(CV102/CV$11,0)</f>
        <v>1.2997333880229696E-2</v>
      </c>
      <c r="CX102" s="5">
        <f>IFERROR(586,0)</f>
        <v>586</v>
      </c>
      <c r="CY102" s="4">
        <f t="shared" ref="CY102:CY103" si="420">IFERROR(CX102/CX$11,0)</f>
        <v>1.2997671065764667E-2</v>
      </c>
      <c r="CZ102" s="5">
        <f>IFERROR(597,0)</f>
        <v>597</v>
      </c>
      <c r="DA102" s="4">
        <f t="shared" ref="DA102:DA103" si="421">IFERROR(CZ102/CZ$11,0)</f>
        <v>1.3000021775580864E-2</v>
      </c>
      <c r="DB102" s="5">
        <f>IFERROR(607,0)</f>
        <v>607</v>
      </c>
      <c r="DC102" s="4">
        <f t="shared" ref="DC102:DC103" si="422">IFERROR(DB102/DB$11,0)</f>
        <v>1.2992294520547945E-2</v>
      </c>
      <c r="DD102" s="5">
        <f>SUM(OSRRefD93_2_0x_0)</f>
        <v>29073</v>
      </c>
      <c r="DE102" s="4">
        <f t="shared" ref="DE102:DE103" si="423">IFERROR(DD102/DD$11,0)</f>
        <v>1.3000544204667461E-2</v>
      </c>
      <c r="DF102" s="28"/>
    </row>
    <row r="103" spans="2:110" x14ac:dyDescent="0.25">
      <c r="C103" s="31" t="str">
        <f>"TOTAL " &amp; "Credit Card"</f>
        <v>TOTAL Credit Card</v>
      </c>
      <c r="D103" s="3">
        <f>SUM(OSRRefD93_2x_0_0)</f>
        <v>491</v>
      </c>
      <c r="E103" s="1">
        <f t="shared" si="371"/>
        <v>1.3004211139656222E-2</v>
      </c>
      <c r="F103" s="3">
        <f>SUM(OSRRefD93_2x_0_1)</f>
        <v>492</v>
      </c>
      <c r="G103" s="1">
        <f t="shared" si="372"/>
        <v>1.2999709356091632E-2</v>
      </c>
      <c r="H103" s="3">
        <f>SUM(OSRRefD93_2x_0_2)</f>
        <v>425</v>
      </c>
      <c r="I103" s="1">
        <f t="shared" si="373"/>
        <v>1.3006089910334487E-2</v>
      </c>
      <c r="J103" s="3">
        <f>SUM(OSRRefD93_2x_0_3)</f>
        <v>497</v>
      </c>
      <c r="K103" s="1">
        <f t="shared" si="374"/>
        <v>1.30128557589087E-2</v>
      </c>
      <c r="L103" s="3">
        <f>SUM(OSRRefD93_2x_0_4)</f>
        <v>526</v>
      </c>
      <c r="M103" s="1">
        <f t="shared" si="375"/>
        <v>1.2999851712718107E-2</v>
      </c>
      <c r="N103" s="3">
        <f>SUM(OSRRefD93_2x_0_5)</f>
        <v>522</v>
      </c>
      <c r="O103" s="1">
        <f t="shared" si="376"/>
        <v>1.2998655311519497E-2</v>
      </c>
      <c r="P103" s="3">
        <f>SUM(OSRRefD93_2x_0_6)</f>
        <v>721</v>
      </c>
      <c r="Q103" s="1">
        <f t="shared" si="377"/>
        <v>1.2996845425867508E-2</v>
      </c>
      <c r="R103" s="3">
        <f>SUM(OSRRefD93_2x_0_7)</f>
        <v>714</v>
      </c>
      <c r="S103" s="1">
        <f t="shared" si="378"/>
        <v>1.2994812994812996E-2</v>
      </c>
      <c r="T103" s="3">
        <f>SUM(OSRRefD93_2x_0_8)</f>
        <v>703</v>
      </c>
      <c r="U103" s="1">
        <f t="shared" si="379"/>
        <v>1.3005272407732865E-2</v>
      </c>
      <c r="V103" s="3">
        <f>SUM(OSRRefD93_2x_0_9)</f>
        <v>726</v>
      </c>
      <c r="W103" s="1">
        <f t="shared" si="380"/>
        <v>1.3000268600590921E-2</v>
      </c>
      <c r="X103" s="3">
        <f>SUM(OSRRefD93_2x_0_10)</f>
        <v>690</v>
      </c>
      <c r="Y103" s="1">
        <f t="shared" si="381"/>
        <v>1.2993860871530262E-2</v>
      </c>
      <c r="Z103" s="3">
        <f>SUM(OSRRefD93_2x_0_11)</f>
        <v>657</v>
      </c>
      <c r="AA103" s="1">
        <f t="shared" si="382"/>
        <v>1.2997032640949554E-2</v>
      </c>
      <c r="AB103" s="3">
        <f>SUM(OSRRefD93_2x_0_12)</f>
        <v>687</v>
      </c>
      <c r="AC103" s="1">
        <f t="shared" si="383"/>
        <v>1.3008407180186322E-2</v>
      </c>
      <c r="AD103" s="3">
        <f>SUM(OSRRefD93_2x_0_13)</f>
        <v>624</v>
      </c>
      <c r="AE103" s="1">
        <f t="shared" si="384"/>
        <v>1.2992962145504518E-2</v>
      </c>
      <c r="AF103" s="3">
        <f>SUM(OSRRefD93_2x_0_14)</f>
        <v>642</v>
      </c>
      <c r="AG103" s="1">
        <f t="shared" si="385"/>
        <v>1.3001741666329135E-2</v>
      </c>
      <c r="AH103" s="3">
        <f>SUM(OSRRefD93_2x_0_15)</f>
        <v>523</v>
      </c>
      <c r="AI103" s="1">
        <f t="shared" si="386"/>
        <v>1.3012216057522454E-2</v>
      </c>
      <c r="AJ103" s="3">
        <f>SUM(OSRRefD93_2x_0_16)</f>
        <v>626</v>
      </c>
      <c r="AK103" s="1">
        <f t="shared" si="387"/>
        <v>1.3003468976548057E-2</v>
      </c>
      <c r="AL103" s="3">
        <f>SUM(OSRRefD93_2x_0_17)</f>
        <v>584</v>
      </c>
      <c r="AM103" s="1">
        <f t="shared" si="388"/>
        <v>1.3002916750161422E-2</v>
      </c>
      <c r="AN103" s="3">
        <f>SUM(OSRRefD93_2x_0_18)</f>
        <v>711</v>
      </c>
      <c r="AO103" s="1">
        <f t="shared" si="389"/>
        <v>1.299223389675651E-2</v>
      </c>
      <c r="AP103" s="3">
        <f>SUM(OSRRefD93_2x_0_19)</f>
        <v>640</v>
      </c>
      <c r="AQ103" s="1">
        <f t="shared" si="390"/>
        <v>1.3001523616048756E-2</v>
      </c>
      <c r="AR103" s="3">
        <f>SUM(OSRRefD93_2x_0_20)</f>
        <v>661</v>
      </c>
      <c r="AS103" s="1">
        <f t="shared" si="391"/>
        <v>1.2997227520302024E-2</v>
      </c>
      <c r="AT103" s="3">
        <f>SUM(OSRRefD93_2x_0_21)</f>
        <v>626</v>
      </c>
      <c r="AU103" s="1">
        <f t="shared" si="392"/>
        <v>1.2993482502386982E-2</v>
      </c>
      <c r="AV103" s="3">
        <f>SUM(OSRRefD93_2x_0_22)</f>
        <v>536</v>
      </c>
      <c r="AW103" s="1">
        <f t="shared" si="393"/>
        <v>1.3006236199073063E-2</v>
      </c>
      <c r="AX103" s="3">
        <f>SUM(OSRRefD93_2x_0_23)</f>
        <v>669</v>
      </c>
      <c r="AY103" s="1">
        <f t="shared" si="394"/>
        <v>1.2999883409117407E-2</v>
      </c>
      <c r="AZ103" s="3">
        <f>SUM(OSRRefD93_2x_0_24)</f>
        <v>541</v>
      </c>
      <c r="BA103" s="1">
        <f t="shared" si="395"/>
        <v>1.3006370958047842E-2</v>
      </c>
      <c r="BB103" s="3">
        <f>SUM(OSRRefD93_2x_0_25)</f>
        <v>564</v>
      </c>
      <c r="BC103" s="1">
        <f t="shared" si="396"/>
        <v>1.2992697366905481E-2</v>
      </c>
      <c r="BD103" s="3">
        <f>SUM(OSRRefD93_2x_0_26)</f>
        <v>519</v>
      </c>
      <c r="BE103" s="1">
        <f t="shared" si="397"/>
        <v>1.3005237176435211E-2</v>
      </c>
      <c r="BF103" s="3">
        <f>SUM(OSRRefD93_2x_0_27)</f>
        <v>506</v>
      </c>
      <c r="BG103" s="1">
        <f t="shared" si="398"/>
        <v>1.2990680598700932E-2</v>
      </c>
      <c r="BH103" s="3">
        <f>SUM(OSRRefD93_2x_0_28)</f>
        <v>490</v>
      </c>
      <c r="BI103" s="1">
        <f t="shared" si="399"/>
        <v>1.2993211709800594E-2</v>
      </c>
      <c r="BJ103" s="3">
        <f>SUM(OSRRefD93_2x_0_29)</f>
        <v>503</v>
      </c>
      <c r="BK103" s="1">
        <f t="shared" si="400"/>
        <v>1.3002455732195942E-2</v>
      </c>
      <c r="BL103" s="3">
        <f>SUM(OSRRefD93_2x_0_30)</f>
        <v>556</v>
      </c>
      <c r="BM103" s="1">
        <f t="shared" si="401"/>
        <v>1.3001894160839978E-2</v>
      </c>
      <c r="BN103" s="3">
        <f>SUM(OSRRefD93_2x_0_31)</f>
        <v>521</v>
      </c>
      <c r="BO103" s="1">
        <f t="shared" si="402"/>
        <v>1.300257056577404E-2</v>
      </c>
      <c r="BP103" s="3">
        <f>SUM(OSRRefD93_2x_0_32)</f>
        <v>461</v>
      </c>
      <c r="BQ103" s="1">
        <f t="shared" si="403"/>
        <v>1.3002764145089411E-2</v>
      </c>
      <c r="BR103" s="3">
        <f>SUM(OSRRefD93_2x_0_33)</f>
        <v>431</v>
      </c>
      <c r="BS103" s="1">
        <f t="shared" si="404"/>
        <v>1.2990144368425811E-2</v>
      </c>
      <c r="BT103" s="3">
        <f>SUM(OSRRefD93_2x_0_34)</f>
        <v>555</v>
      </c>
      <c r="BU103" s="1">
        <f t="shared" si="405"/>
        <v>1.3008320637524903E-2</v>
      </c>
      <c r="BV103" s="3">
        <f>SUM(OSRRefD93_2x_0_35)</f>
        <v>445</v>
      </c>
      <c r="BW103" s="1">
        <f t="shared" si="406"/>
        <v>1.2996495327102803E-2</v>
      </c>
      <c r="BX103" s="3">
        <f>SUM(OSRRefD93_2x_0_36)</f>
        <v>485</v>
      </c>
      <c r="BY103" s="1">
        <f t="shared" si="407"/>
        <v>1.3010354632759269E-2</v>
      </c>
      <c r="BZ103" s="3">
        <f>SUM(OSRRefD93_2x_0_37)</f>
        <v>427</v>
      </c>
      <c r="CA103" s="1">
        <f t="shared" si="408"/>
        <v>1.3004019978072847E-2</v>
      </c>
      <c r="CB103" s="3">
        <f>SUM(OSRRefD93_2x_0_38)</f>
        <v>484</v>
      </c>
      <c r="CC103" s="1">
        <f t="shared" si="409"/>
        <v>1.300865451808848E-2</v>
      </c>
      <c r="CD103" s="3">
        <f>SUM(OSRRefD93_2x_0_39)</f>
        <v>486</v>
      </c>
      <c r="CE103" s="1">
        <f t="shared" si="410"/>
        <v>1.3012048192771084E-2</v>
      </c>
      <c r="CF103" s="3">
        <f>SUM(OSRRefD93_2x_0_40)</f>
        <v>497</v>
      </c>
      <c r="CG103" s="1">
        <f t="shared" si="411"/>
        <v>1.3003663003663004E-2</v>
      </c>
      <c r="CH103" s="3">
        <f>SUM(OSRRefD93_2x_0_41)</f>
        <v>509</v>
      </c>
      <c r="CI103" s="1">
        <f t="shared" si="412"/>
        <v>1.3000612995504699E-2</v>
      </c>
      <c r="CJ103" s="3">
        <f>SUM(OSRRefD93_2x_0_42)</f>
        <v>541</v>
      </c>
      <c r="CK103" s="1">
        <f t="shared" si="413"/>
        <v>1.2989195678271309E-2</v>
      </c>
      <c r="CL103" s="3">
        <f>SUM(OSRRefD93_2x_0_43)</f>
        <v>586</v>
      </c>
      <c r="CM103" s="1">
        <f t="shared" si="414"/>
        <v>1.2999401051487388E-2</v>
      </c>
      <c r="CN103" s="3">
        <f>SUM(OSRRefD93_2x_0_44)</f>
        <v>536</v>
      </c>
      <c r="CO103" s="1">
        <f t="shared" si="415"/>
        <v>1.2999927239213213E-2</v>
      </c>
      <c r="CP103" s="3">
        <f>SUM(OSRRefD93_2x_0_45)</f>
        <v>515</v>
      </c>
      <c r="CQ103" s="1">
        <f t="shared" si="416"/>
        <v>1.3004065348584703E-2</v>
      </c>
      <c r="CR103" s="3">
        <f>SUM(OSRRefD93_2x_0_46)</f>
        <v>428</v>
      </c>
      <c r="CS103" s="1">
        <f t="shared" si="417"/>
        <v>1.3001610012454813E-2</v>
      </c>
      <c r="CT103" s="3">
        <f>SUM(OSRRefD93_2x_0_47)</f>
        <v>497</v>
      </c>
      <c r="CU103" s="1">
        <f t="shared" si="418"/>
        <v>1.3005364385712417E-2</v>
      </c>
      <c r="CV103" s="3">
        <f>SUM(OSRRefD93_2x_0_48)</f>
        <v>507</v>
      </c>
      <c r="CW103" s="1">
        <f t="shared" si="419"/>
        <v>1.2997333880229696E-2</v>
      </c>
      <c r="CX103" s="3">
        <f>SUM(OSRRefD93_2x_0_49)</f>
        <v>586</v>
      </c>
      <c r="CY103" s="1">
        <f t="shared" si="420"/>
        <v>1.2997671065764667E-2</v>
      </c>
      <c r="CZ103" s="3">
        <f>SUM(OSRRefD93_2x_0_50)</f>
        <v>597</v>
      </c>
      <c r="DA103" s="1">
        <f t="shared" si="421"/>
        <v>1.3000021775580864E-2</v>
      </c>
      <c r="DB103" s="3">
        <f>SUM(OSRRefD93_2x_0_51)</f>
        <v>607</v>
      </c>
      <c r="DC103" s="1">
        <f t="shared" si="422"/>
        <v>1.2992294520547945E-2</v>
      </c>
      <c r="DD103" s="3">
        <f>SUM(OSRRefF93_2x_0)</f>
        <v>29073</v>
      </c>
      <c r="DE103" s="1">
        <f t="shared" si="423"/>
        <v>1.3000544204667461E-2</v>
      </c>
      <c r="DF103" s="28"/>
    </row>
    <row r="104" spans="2:110" outlineLevel="1" x14ac:dyDescent="0.25">
      <c r="D104" s="5"/>
      <c r="E104" s="2"/>
      <c r="F104" s="5"/>
      <c r="G104" s="2"/>
      <c r="H104" s="5"/>
      <c r="I104" s="2"/>
      <c r="J104" s="5"/>
      <c r="K104" s="2"/>
      <c r="L104" s="5"/>
      <c r="M104" s="2"/>
      <c r="N104" s="5"/>
      <c r="O104" s="2"/>
      <c r="P104" s="5"/>
      <c r="Q104" s="2"/>
      <c r="R104" s="5"/>
      <c r="S104" s="2"/>
      <c r="T104" s="5"/>
      <c r="U104" s="2"/>
      <c r="V104" s="5"/>
      <c r="W104" s="2"/>
      <c r="X104" s="5"/>
      <c r="Y104" s="2"/>
      <c r="Z104" s="5"/>
      <c r="AA104" s="2"/>
      <c r="AB104" s="5"/>
      <c r="AC104" s="2"/>
      <c r="AD104" s="5"/>
      <c r="AE104" s="2"/>
      <c r="AF104" s="5"/>
      <c r="AG104" s="2"/>
      <c r="AH104" s="5"/>
      <c r="AI104" s="2"/>
      <c r="AJ104" s="5"/>
      <c r="AK104" s="2"/>
      <c r="AL104" s="5"/>
      <c r="AM104" s="2"/>
      <c r="AN104" s="5"/>
      <c r="AO104" s="2"/>
      <c r="AP104" s="5"/>
      <c r="AQ104" s="2"/>
      <c r="AR104" s="5"/>
      <c r="AS104" s="2"/>
      <c r="AT104" s="5"/>
      <c r="AU104" s="2"/>
      <c r="AV104" s="5"/>
      <c r="AW104" s="2"/>
      <c r="AX104" s="5"/>
      <c r="AY104" s="2"/>
      <c r="AZ104" s="5"/>
      <c r="BA104" s="2"/>
      <c r="BB104" s="5"/>
      <c r="BC104" s="2"/>
      <c r="BD104" s="5"/>
      <c r="BE104" s="2"/>
      <c r="BF104" s="5"/>
      <c r="BG104" s="2"/>
      <c r="BH104" s="5"/>
      <c r="BI104" s="2"/>
      <c r="BJ104" s="5"/>
      <c r="BK104" s="2"/>
      <c r="BL104" s="5"/>
      <c r="BM104" s="2"/>
      <c r="BN104" s="5"/>
      <c r="BO104" s="2"/>
      <c r="BP104" s="5"/>
      <c r="BQ104" s="2"/>
      <c r="BR104" s="5"/>
      <c r="BS104" s="2"/>
      <c r="BT104" s="5"/>
      <c r="BU104" s="2"/>
      <c r="BV104" s="5"/>
      <c r="BW104" s="2"/>
      <c r="BX104" s="5"/>
      <c r="BY104" s="2"/>
      <c r="BZ104" s="5"/>
      <c r="CA104" s="2"/>
      <c r="CB104" s="5"/>
      <c r="CC104" s="2"/>
      <c r="CD104" s="5"/>
      <c r="CE104" s="2"/>
      <c r="CF104" s="5"/>
      <c r="CG104" s="2"/>
      <c r="CH104" s="5"/>
      <c r="CI104" s="2"/>
      <c r="CJ104" s="5"/>
      <c r="CK104" s="2"/>
      <c r="CL104" s="5"/>
      <c r="CM104" s="2"/>
      <c r="CN104" s="5"/>
      <c r="CO104" s="2"/>
      <c r="CP104" s="5"/>
      <c r="CQ104" s="2"/>
      <c r="CR104" s="5"/>
      <c r="CS104" s="2"/>
      <c r="CT104" s="5"/>
      <c r="CU104" s="2"/>
      <c r="CV104" s="5"/>
      <c r="CW104" s="2"/>
      <c r="CX104" s="5"/>
      <c r="CY104" s="2"/>
      <c r="CZ104" s="5"/>
      <c r="DA104" s="2"/>
      <c r="DB104" s="5"/>
      <c r="DC104" s="2"/>
      <c r="DD104" s="5"/>
      <c r="DE104" s="2"/>
      <c r="DF104" s="28"/>
    </row>
    <row r="105" spans="2:110" outlineLevel="1" x14ac:dyDescent="0.25">
      <c r="B105">
        <v>57300</v>
      </c>
      <c r="C105" t="s">
        <v>59</v>
      </c>
      <c r="D105" s="5">
        <f>IFERROR(741.95,0)</f>
        <v>741.95</v>
      </c>
      <c r="E105" s="4">
        <f t="shared" ref="E105:E106" si="424">IFERROR(D105/D$11,0)</f>
        <v>1.9650660804619011E-2</v>
      </c>
      <c r="F105" s="5">
        <f>IFERROR(741.95,0)</f>
        <v>741.95</v>
      </c>
      <c r="G105" s="4">
        <f t="shared" ref="G105:G106" si="425">IFERROR(F105/F$11,0)</f>
        <v>1.9603931619415014E-2</v>
      </c>
      <c r="H105" s="5">
        <f>IFERROR(741.95,0)</f>
        <v>741.95</v>
      </c>
      <c r="I105" s="4">
        <f t="shared" ref="I105:I106" si="426">IFERROR(H105/H$11,0)</f>
        <v>2.2705572726994524E-2</v>
      </c>
      <c r="J105" s="5">
        <f>IFERROR(741.95,0)</f>
        <v>741.95</v>
      </c>
      <c r="K105" s="4">
        <f t="shared" ref="K105:K106" si="427">IFERROR(J105/J$11,0)</f>
        <v>1.9426334668656561E-2</v>
      </c>
      <c r="L105" s="5">
        <f>IFERROR(741.95,0)</f>
        <v>741.95</v>
      </c>
      <c r="M105" s="4">
        <f t="shared" ref="M105:M106" si="428">IFERROR(L105/L$11,0)</f>
        <v>1.8336958133557412E-2</v>
      </c>
      <c r="N105" s="5">
        <f>IFERROR(741.95,0)</f>
        <v>741.95</v>
      </c>
      <c r="O105" s="4">
        <f t="shared" ref="O105:O106" si="429">IFERROR(N105/N$11,0)</f>
        <v>1.8475770705712435E-2</v>
      </c>
      <c r="P105" s="5">
        <f>IFERROR(741.95,0)</f>
        <v>741.95</v>
      </c>
      <c r="Q105" s="4">
        <f t="shared" ref="Q105:Q106" si="430">IFERROR(P105/P$11,0)</f>
        <v>1.3374493014871565E-2</v>
      </c>
      <c r="R105" s="5">
        <f>IFERROR(741.95,0)</f>
        <v>741.95</v>
      </c>
      <c r="S105" s="4">
        <f t="shared" ref="S105:S106" si="431">IFERROR(R105/R$11,0)</f>
        <v>1.3503503503503505E-2</v>
      </c>
      <c r="T105" s="5">
        <f>IFERROR(741.95,0)</f>
        <v>741.95</v>
      </c>
      <c r="U105" s="4">
        <f t="shared" ref="U105:U106" si="432">IFERROR(T105/T$11,0)</f>
        <v>1.3725834797891037E-2</v>
      </c>
      <c r="V105" s="5">
        <f>IFERROR(741.95,0)</f>
        <v>741.95</v>
      </c>
      <c r="W105" s="4">
        <f t="shared" ref="W105:W106" si="433">IFERROR(V105/V$11,0)</f>
        <v>1.328588056227057E-2</v>
      </c>
      <c r="X105" s="5">
        <f>IFERROR(741.95,0)</f>
        <v>741.95</v>
      </c>
      <c r="Y105" s="4">
        <f t="shared" ref="Y105:Y106" si="434">IFERROR(X105/X$11,0)</f>
        <v>1.3972166773379535E-2</v>
      </c>
      <c r="Z105" s="5">
        <f>IFERROR(741.95,0)</f>
        <v>741.95</v>
      </c>
      <c r="AA105" s="4">
        <f t="shared" ref="AA105:AA106" si="435">IFERROR(Z105/Z$11,0)</f>
        <v>1.4677546983184967E-2</v>
      </c>
      <c r="AB105" s="5">
        <f>IFERROR(741.95,0)</f>
        <v>741.95</v>
      </c>
      <c r="AC105" s="4">
        <f t="shared" ref="AC105:AC106" si="436">IFERROR(AB105/AB$11,0)</f>
        <v>1.404889040369613E-2</v>
      </c>
      <c r="AD105" s="5">
        <f>IFERROR(741.95,0)</f>
        <v>741.95</v>
      </c>
      <c r="AE105" s="4">
        <f t="shared" ref="AE105:AE106" si="437">IFERROR(AD105/AD$11,0)</f>
        <v>1.5448923499770959E-2</v>
      </c>
      <c r="AF105" s="5">
        <f>IFERROR(741.95,0)</f>
        <v>741.95</v>
      </c>
      <c r="AG105" s="4">
        <f t="shared" ref="AG105:AG106" si="438">IFERROR(AF105/AF$11,0)</f>
        <v>1.502592247559642E-2</v>
      </c>
      <c r="AH105" s="5">
        <f>IFERROR(741.95,0)</f>
        <v>741.95</v>
      </c>
      <c r="AI105" s="4">
        <f t="shared" ref="AI105:AI106" si="439">IFERROR(AH105/AH$11,0)</f>
        <v>1.8459682034185059E-2</v>
      </c>
      <c r="AJ105" s="5">
        <f>IFERROR(741.95,0)</f>
        <v>741.95</v>
      </c>
      <c r="AK105" s="4">
        <f t="shared" ref="AK105:AK106" si="440">IFERROR(AJ105/AJ$11,0)</f>
        <v>1.5412018861261711E-2</v>
      </c>
      <c r="AL105" s="5">
        <f>IFERROR(741.95,0)</f>
        <v>741.95</v>
      </c>
      <c r="AM105" s="4">
        <f t="shared" ref="AM105:AM106" si="441">IFERROR(AL105/AL$11,0)</f>
        <v>1.6519715895175119E-2</v>
      </c>
      <c r="AN105" s="5">
        <f>IFERROR(741.95,0)</f>
        <v>741.95</v>
      </c>
      <c r="AO105" s="4">
        <f t="shared" ref="AO105:AO106" si="442">IFERROR(AN105/AN$11,0)</f>
        <v>1.3557788944723618E-2</v>
      </c>
      <c r="AP105" s="5">
        <f>IFERROR(741.95,0)</f>
        <v>741.95</v>
      </c>
      <c r="AQ105" s="4">
        <f t="shared" ref="AQ105:AQ106" si="443">IFERROR(AP105/AP$11,0)</f>
        <v>1.5072625698324023E-2</v>
      </c>
      <c r="AR105" s="5">
        <f>IFERROR(741.95,0)</f>
        <v>741.95</v>
      </c>
      <c r="AS105" s="4">
        <f t="shared" ref="AS105:AS106" si="444">IFERROR(AR105/AR$11,0)</f>
        <v>1.4588945474565941E-2</v>
      </c>
      <c r="AT105" s="5">
        <f>IFERROR(741.95,0)</f>
        <v>741.95</v>
      </c>
      <c r="AU105" s="4">
        <f t="shared" ref="AU105:AU106" si="445">IFERROR(AT105/AT$11,0)</f>
        <v>1.5400182655984061E-2</v>
      </c>
      <c r="AV105" s="5">
        <f>IFERROR(741.95,0)</f>
        <v>741.95</v>
      </c>
      <c r="AW105" s="4">
        <f t="shared" ref="AW105:AW106" si="446">IFERROR(AV105/AV$11,0)</f>
        <v>1.8003688335638545E-2</v>
      </c>
      <c r="AX105" s="5">
        <f>IFERROR(741.95,0)</f>
        <v>741.95</v>
      </c>
      <c r="AY105" s="4">
        <f t="shared" ref="AY105:AY106" si="447">IFERROR(AX105/AX$11,0)</f>
        <v>1.4417434223310405E-2</v>
      </c>
      <c r="AZ105" s="5">
        <f>IFERROR(741.95,0)</f>
        <v>741.95</v>
      </c>
      <c r="BA105" s="4">
        <f t="shared" ref="BA105:BA106" si="448">IFERROR(AZ105/AZ$11,0)</f>
        <v>1.7837480466402211E-2</v>
      </c>
      <c r="BB105" s="5">
        <f>IFERROR(741.95,0)</f>
        <v>741.95</v>
      </c>
      <c r="BC105" s="4">
        <f t="shared" ref="BC105:BC106" si="449">IFERROR(BB105/BB$11,0)</f>
        <v>1.7092077679743831E-2</v>
      </c>
      <c r="BD105" s="5">
        <f>IFERROR(741.95,0)</f>
        <v>741.95</v>
      </c>
      <c r="BE105" s="4">
        <f t="shared" ref="BE105:BE106" si="450">IFERROR(BD105/BD$11,0)</f>
        <v>1.8591976345002131E-2</v>
      </c>
      <c r="BF105" s="5">
        <f>IFERROR(741.95,0)</f>
        <v>741.95</v>
      </c>
      <c r="BG105" s="4">
        <f t="shared" ref="BG105:BG106" si="451">IFERROR(BF105/BF$11,0)</f>
        <v>1.9048291443095174E-2</v>
      </c>
      <c r="BH105" s="5">
        <f>IFERROR(741.95,0)</f>
        <v>741.95</v>
      </c>
      <c r="BI105" s="4">
        <f t="shared" ref="BI105:BI106" si="452">IFERROR(BH105/BH$11,0)</f>
        <v>1.967410903691133E-2</v>
      </c>
      <c r="BJ105" s="5">
        <f>IFERROR(741.95,0)</f>
        <v>741.95</v>
      </c>
      <c r="BK105" s="4">
        <f t="shared" ref="BK105:BK106" si="453">IFERROR(BJ105/BJ$11,0)</f>
        <v>1.9179268450303738E-2</v>
      </c>
      <c r="BL105" s="5">
        <f>IFERROR(741.95,0)</f>
        <v>741.95</v>
      </c>
      <c r="BM105" s="4">
        <f t="shared" ref="BM105:BM106" si="454">IFERROR(BL105/BL$11,0)</f>
        <v>1.7350279447185653E-2</v>
      </c>
      <c r="BN105" s="5">
        <f>IFERROR(741.95,0)</f>
        <v>741.95</v>
      </c>
      <c r="BO105" s="4">
        <f t="shared" ref="BO105:BO106" si="455">IFERROR(BN105/BN$11,0)</f>
        <v>1.851680850532831E-2</v>
      </c>
      <c r="BP105" s="5">
        <f>IFERROR(741.95,0)</f>
        <v>741.95</v>
      </c>
      <c r="BQ105" s="4">
        <f t="shared" ref="BQ105:BQ106" si="456">IFERROR(BP105/BP$11,0)</f>
        <v>2.0927116827438374E-2</v>
      </c>
      <c r="BR105" s="5">
        <f>IFERROR(741.95,0)</f>
        <v>741.95</v>
      </c>
      <c r="BS105" s="4">
        <f t="shared" ref="BS105:BS106" si="457">IFERROR(BR105/BR$11,0)</f>
        <v>2.2362036227734413E-2</v>
      </c>
      <c r="BT105" s="5">
        <f>IFERROR(741.95,0)</f>
        <v>741.95</v>
      </c>
      <c r="BU105" s="4">
        <f t="shared" ref="BU105:BU106" si="458">IFERROR(BT105/BT$11,0)</f>
        <v>1.7390132427047934E-2</v>
      </c>
      <c r="BV105" s="5">
        <f>IFERROR(741.95,0)</f>
        <v>741.95</v>
      </c>
      <c r="BW105" s="4">
        <f t="shared" ref="BW105:BW106" si="459">IFERROR(BV105/BV$11,0)</f>
        <v>2.1669100467289721E-2</v>
      </c>
      <c r="BX105" s="5">
        <f>IFERROR(741.95,0)</f>
        <v>741.95</v>
      </c>
      <c r="BY105" s="4">
        <f t="shared" ref="BY105:BY106" si="460">IFERROR(BX105/BX$11,0)</f>
        <v>1.990316004077472E-2</v>
      </c>
      <c r="BZ105" s="5">
        <f>IFERROR(741.95,0)</f>
        <v>741.95</v>
      </c>
      <c r="CA105" s="4">
        <f t="shared" ref="CA105:CA106" si="461">IFERROR(BZ105/BZ$11,0)</f>
        <v>2.2595626751126814E-2</v>
      </c>
      <c r="CB105" s="5">
        <f>IFERROR(741.95,0)</f>
        <v>741.95</v>
      </c>
      <c r="CC105" s="4">
        <f t="shared" ref="CC105:CC106" si="462">IFERROR(CB105/CB$11,0)</f>
        <v>1.9941676073751545E-2</v>
      </c>
      <c r="CD105" s="5">
        <f>IFERROR(741.95,0)</f>
        <v>741.95</v>
      </c>
      <c r="CE105" s="4">
        <f t="shared" ref="CE105:CE106" si="463">IFERROR(CD105/CD$11,0)</f>
        <v>1.9864792503346721E-2</v>
      </c>
      <c r="CF105" s="5">
        <f>IFERROR(741.95,0)</f>
        <v>741.95</v>
      </c>
      <c r="CG105" s="4">
        <f t="shared" ref="CG105:CG106" si="464">IFERROR(CF105/CF$11,0)</f>
        <v>1.9412611198325484E-2</v>
      </c>
      <c r="CH105" s="5">
        <f>IFERROR(741.95,0)</f>
        <v>741.95</v>
      </c>
      <c r="CI105" s="4">
        <f t="shared" ref="CI105:CI106" si="465">IFERROR(CH105/CH$11,0)</f>
        <v>1.8950500612995507E-2</v>
      </c>
      <c r="CJ105" s="5">
        <f>IFERROR(741.95,0)</f>
        <v>741.95</v>
      </c>
      <c r="CK105" s="4">
        <f t="shared" ref="CK105:CK106" si="466">IFERROR(CJ105/CJ$11,0)</f>
        <v>1.7813925570228092E-2</v>
      </c>
      <c r="CL105" s="5">
        <f>IFERROR(741.95,0)</f>
        <v>741.95</v>
      </c>
      <c r="CM105" s="4">
        <f t="shared" ref="CM105:CM106" si="467">IFERROR(CL105/CL$11,0)</f>
        <v>1.6458883293773156E-2</v>
      </c>
      <c r="CN105" s="5">
        <f>IFERROR(741.95,0)</f>
        <v>741.95</v>
      </c>
      <c r="CO105" s="4">
        <f t="shared" ref="CO105:CO106" si="468">IFERROR(CN105/CN$11,0)</f>
        <v>1.7994955252116127E-2</v>
      </c>
      <c r="CP105" s="5">
        <f>IFERROR(741.95,0)</f>
        <v>741.95</v>
      </c>
      <c r="CQ105" s="4">
        <f t="shared" ref="CQ105:CQ106" si="469">IFERROR(CP105/CP$11,0)</f>
        <v>1.8734691816276548E-2</v>
      </c>
      <c r="CR105" s="5">
        <f>IFERROR(741.95,0)</f>
        <v>741.95</v>
      </c>
      <c r="CS105" s="4">
        <f t="shared" ref="CS105:CS106" si="470">IFERROR(CR105/CR$11,0)</f>
        <v>2.2538655487712264E-2</v>
      </c>
      <c r="CT105" s="5">
        <f>IFERROR(741.95,0)</f>
        <v>741.95</v>
      </c>
      <c r="CU105" s="4">
        <f t="shared" ref="CU105:CU106" si="471">IFERROR(CT105/CT$11,0)</f>
        <v>1.9415151118670679E-2</v>
      </c>
      <c r="CV105" s="5">
        <f>IFERROR(741.95,0)</f>
        <v>741.95</v>
      </c>
      <c r="CW105" s="4">
        <f t="shared" ref="CW105:CW106" si="472">IFERROR(CV105/CV$11,0)</f>
        <v>1.9020457342083675E-2</v>
      </c>
      <c r="CX105" s="5">
        <f>IFERROR(741.95,0)</f>
        <v>741.95</v>
      </c>
      <c r="CY105" s="4">
        <f t="shared" ref="CY105:CY106" si="473">IFERROR(CX105/CX$11,0)</f>
        <v>1.6456692913385827E-2</v>
      </c>
      <c r="CZ105" s="5">
        <f>IFERROR(741.95,0)</f>
        <v>741.95</v>
      </c>
      <c r="DA105" s="4">
        <f t="shared" ref="DA105:DA106" si="474">IFERROR(CZ105/CZ$11,0)</f>
        <v>1.6156392221762517E-2</v>
      </c>
      <c r="DB105" s="5">
        <f>IFERROR(741.95,0)</f>
        <v>741.95</v>
      </c>
      <c r="DC105" s="4">
        <f t="shared" ref="DC105:DC106" si="475">IFERROR(DB105/DB$11,0)</f>
        <v>1.588077910958904E-2</v>
      </c>
      <c r="DD105" s="5">
        <f>SUM(OSRRefD93_3_0x_0)</f>
        <v>38581.4</v>
      </c>
      <c r="DE105" s="4">
        <f t="shared" ref="DE105:DE106" si="476">IFERROR(DD105/DD$11,0)</f>
        <v>1.725240588098776E-2</v>
      </c>
      <c r="DF105" s="28"/>
    </row>
    <row r="106" spans="2:110" x14ac:dyDescent="0.25">
      <c r="C106" s="31" t="str">
        <f>"TOTAL " &amp; "Insurance"</f>
        <v>TOTAL Insurance</v>
      </c>
      <c r="D106" s="3">
        <f>SUM(OSRRefD93_3x_0_0)</f>
        <v>741.95</v>
      </c>
      <c r="E106" s="1">
        <f t="shared" si="424"/>
        <v>1.9650660804619011E-2</v>
      </c>
      <c r="F106" s="3">
        <f>SUM(OSRRefD93_3x_0_1)</f>
        <v>741.95</v>
      </c>
      <c r="G106" s="1">
        <f t="shared" si="425"/>
        <v>1.9603931619415014E-2</v>
      </c>
      <c r="H106" s="3">
        <f>SUM(OSRRefD93_3x_0_2)</f>
        <v>741.95</v>
      </c>
      <c r="I106" s="1">
        <f t="shared" si="426"/>
        <v>2.2705572726994524E-2</v>
      </c>
      <c r="J106" s="3">
        <f>SUM(OSRRefD93_3x_0_3)</f>
        <v>741.95</v>
      </c>
      <c r="K106" s="1">
        <f t="shared" si="427"/>
        <v>1.9426334668656561E-2</v>
      </c>
      <c r="L106" s="3">
        <f>SUM(OSRRefD93_3x_0_4)</f>
        <v>741.95</v>
      </c>
      <c r="M106" s="1">
        <f t="shared" si="428"/>
        <v>1.8336958133557412E-2</v>
      </c>
      <c r="N106" s="3">
        <f>SUM(OSRRefD93_3x_0_5)</f>
        <v>741.95</v>
      </c>
      <c r="O106" s="1">
        <f t="shared" si="429"/>
        <v>1.8475770705712435E-2</v>
      </c>
      <c r="P106" s="3">
        <f>SUM(OSRRefD93_3x_0_6)</f>
        <v>741.95</v>
      </c>
      <c r="Q106" s="1">
        <f t="shared" si="430"/>
        <v>1.3374493014871565E-2</v>
      </c>
      <c r="R106" s="3">
        <f>SUM(OSRRefD93_3x_0_7)</f>
        <v>741.95</v>
      </c>
      <c r="S106" s="1">
        <f t="shared" si="431"/>
        <v>1.3503503503503505E-2</v>
      </c>
      <c r="T106" s="3">
        <f>SUM(OSRRefD93_3x_0_8)</f>
        <v>741.95</v>
      </c>
      <c r="U106" s="1">
        <f t="shared" si="432"/>
        <v>1.3725834797891037E-2</v>
      </c>
      <c r="V106" s="3">
        <f>SUM(OSRRefD93_3x_0_9)</f>
        <v>741.95</v>
      </c>
      <c r="W106" s="1">
        <f t="shared" si="433"/>
        <v>1.328588056227057E-2</v>
      </c>
      <c r="X106" s="3">
        <f>SUM(OSRRefD93_3x_0_10)</f>
        <v>741.95</v>
      </c>
      <c r="Y106" s="1">
        <f t="shared" si="434"/>
        <v>1.3972166773379535E-2</v>
      </c>
      <c r="Z106" s="3">
        <f>SUM(OSRRefD93_3x_0_11)</f>
        <v>741.95</v>
      </c>
      <c r="AA106" s="1">
        <f t="shared" si="435"/>
        <v>1.4677546983184967E-2</v>
      </c>
      <c r="AB106" s="3">
        <f>SUM(OSRRefD93_3x_0_12)</f>
        <v>741.95</v>
      </c>
      <c r="AC106" s="1">
        <f t="shared" si="436"/>
        <v>1.404889040369613E-2</v>
      </c>
      <c r="AD106" s="3">
        <f>SUM(OSRRefD93_3x_0_13)</f>
        <v>741.95</v>
      </c>
      <c r="AE106" s="1">
        <f t="shared" si="437"/>
        <v>1.5448923499770959E-2</v>
      </c>
      <c r="AF106" s="3">
        <f>SUM(OSRRefD93_3x_0_14)</f>
        <v>741.95</v>
      </c>
      <c r="AG106" s="1">
        <f t="shared" si="438"/>
        <v>1.502592247559642E-2</v>
      </c>
      <c r="AH106" s="3">
        <f>SUM(OSRRefD93_3x_0_15)</f>
        <v>741.95</v>
      </c>
      <c r="AI106" s="1">
        <f t="shared" si="439"/>
        <v>1.8459682034185059E-2</v>
      </c>
      <c r="AJ106" s="3">
        <f>SUM(OSRRefD93_3x_0_16)</f>
        <v>741.95</v>
      </c>
      <c r="AK106" s="1">
        <f t="shared" si="440"/>
        <v>1.5412018861261711E-2</v>
      </c>
      <c r="AL106" s="3">
        <f>SUM(OSRRefD93_3x_0_17)</f>
        <v>741.95</v>
      </c>
      <c r="AM106" s="1">
        <f t="shared" si="441"/>
        <v>1.6519715895175119E-2</v>
      </c>
      <c r="AN106" s="3">
        <f>SUM(OSRRefD93_3x_0_18)</f>
        <v>741.95</v>
      </c>
      <c r="AO106" s="1">
        <f t="shared" si="442"/>
        <v>1.3557788944723618E-2</v>
      </c>
      <c r="AP106" s="3">
        <f>SUM(OSRRefD93_3x_0_19)</f>
        <v>741.95</v>
      </c>
      <c r="AQ106" s="1">
        <f t="shared" si="443"/>
        <v>1.5072625698324023E-2</v>
      </c>
      <c r="AR106" s="3">
        <f>SUM(OSRRefD93_3x_0_20)</f>
        <v>741.95</v>
      </c>
      <c r="AS106" s="1">
        <f t="shared" si="444"/>
        <v>1.4588945474565941E-2</v>
      </c>
      <c r="AT106" s="3">
        <f>SUM(OSRRefD93_3x_0_21)</f>
        <v>741.95</v>
      </c>
      <c r="AU106" s="1">
        <f t="shared" si="445"/>
        <v>1.5400182655984061E-2</v>
      </c>
      <c r="AV106" s="3">
        <f>SUM(OSRRefD93_3x_0_22)</f>
        <v>741.95</v>
      </c>
      <c r="AW106" s="1">
        <f t="shared" si="446"/>
        <v>1.8003688335638545E-2</v>
      </c>
      <c r="AX106" s="3">
        <f>SUM(OSRRefD93_3x_0_23)</f>
        <v>741.95</v>
      </c>
      <c r="AY106" s="1">
        <f t="shared" si="447"/>
        <v>1.4417434223310405E-2</v>
      </c>
      <c r="AZ106" s="3">
        <f>SUM(OSRRefD93_3x_0_24)</f>
        <v>741.95</v>
      </c>
      <c r="BA106" s="1">
        <f t="shared" si="448"/>
        <v>1.7837480466402211E-2</v>
      </c>
      <c r="BB106" s="3">
        <f>SUM(OSRRefD93_3x_0_25)</f>
        <v>741.95</v>
      </c>
      <c r="BC106" s="1">
        <f t="shared" si="449"/>
        <v>1.7092077679743831E-2</v>
      </c>
      <c r="BD106" s="3">
        <f>SUM(OSRRefD93_3x_0_26)</f>
        <v>741.95</v>
      </c>
      <c r="BE106" s="1">
        <f t="shared" si="450"/>
        <v>1.8591976345002131E-2</v>
      </c>
      <c r="BF106" s="3">
        <f>SUM(OSRRefD93_3x_0_27)</f>
        <v>741.95</v>
      </c>
      <c r="BG106" s="1">
        <f t="shared" si="451"/>
        <v>1.9048291443095174E-2</v>
      </c>
      <c r="BH106" s="3">
        <f>SUM(OSRRefD93_3x_0_28)</f>
        <v>741.95</v>
      </c>
      <c r="BI106" s="1">
        <f t="shared" si="452"/>
        <v>1.967410903691133E-2</v>
      </c>
      <c r="BJ106" s="3">
        <f>SUM(OSRRefD93_3x_0_29)</f>
        <v>741.95</v>
      </c>
      <c r="BK106" s="1">
        <f t="shared" si="453"/>
        <v>1.9179268450303738E-2</v>
      </c>
      <c r="BL106" s="3">
        <f>SUM(OSRRefD93_3x_0_30)</f>
        <v>741.95</v>
      </c>
      <c r="BM106" s="1">
        <f t="shared" si="454"/>
        <v>1.7350279447185653E-2</v>
      </c>
      <c r="BN106" s="3">
        <f>SUM(OSRRefD93_3x_0_31)</f>
        <v>741.95</v>
      </c>
      <c r="BO106" s="1">
        <f t="shared" si="455"/>
        <v>1.851680850532831E-2</v>
      </c>
      <c r="BP106" s="3">
        <f>SUM(OSRRefD93_3x_0_32)</f>
        <v>741.95</v>
      </c>
      <c r="BQ106" s="1">
        <f t="shared" si="456"/>
        <v>2.0927116827438374E-2</v>
      </c>
      <c r="BR106" s="3">
        <f>SUM(OSRRefD93_3x_0_33)</f>
        <v>741.95</v>
      </c>
      <c r="BS106" s="1">
        <f t="shared" si="457"/>
        <v>2.2362036227734413E-2</v>
      </c>
      <c r="BT106" s="3">
        <f>SUM(OSRRefD93_3x_0_34)</f>
        <v>741.95</v>
      </c>
      <c r="BU106" s="1">
        <f t="shared" si="458"/>
        <v>1.7390132427047934E-2</v>
      </c>
      <c r="BV106" s="3">
        <f>SUM(OSRRefD93_3x_0_35)</f>
        <v>741.95</v>
      </c>
      <c r="BW106" s="1">
        <f t="shared" si="459"/>
        <v>2.1669100467289721E-2</v>
      </c>
      <c r="BX106" s="3">
        <f>SUM(OSRRefD93_3x_0_36)</f>
        <v>741.95</v>
      </c>
      <c r="BY106" s="1">
        <f t="shared" si="460"/>
        <v>1.990316004077472E-2</v>
      </c>
      <c r="BZ106" s="3">
        <f>SUM(OSRRefD93_3x_0_37)</f>
        <v>741.95</v>
      </c>
      <c r="CA106" s="1">
        <f t="shared" si="461"/>
        <v>2.2595626751126814E-2</v>
      </c>
      <c r="CB106" s="3">
        <f>SUM(OSRRefD93_3x_0_38)</f>
        <v>741.95</v>
      </c>
      <c r="CC106" s="1">
        <f t="shared" si="462"/>
        <v>1.9941676073751545E-2</v>
      </c>
      <c r="CD106" s="3">
        <f>SUM(OSRRefD93_3x_0_39)</f>
        <v>741.95</v>
      </c>
      <c r="CE106" s="1">
        <f t="shared" si="463"/>
        <v>1.9864792503346721E-2</v>
      </c>
      <c r="CF106" s="3">
        <f>SUM(OSRRefD93_3x_0_40)</f>
        <v>741.95</v>
      </c>
      <c r="CG106" s="1">
        <f t="shared" si="464"/>
        <v>1.9412611198325484E-2</v>
      </c>
      <c r="CH106" s="3">
        <f>SUM(OSRRefD93_3x_0_41)</f>
        <v>741.95</v>
      </c>
      <c r="CI106" s="1">
        <f t="shared" si="465"/>
        <v>1.8950500612995507E-2</v>
      </c>
      <c r="CJ106" s="3">
        <f>SUM(OSRRefD93_3x_0_42)</f>
        <v>741.95</v>
      </c>
      <c r="CK106" s="1">
        <f t="shared" si="466"/>
        <v>1.7813925570228092E-2</v>
      </c>
      <c r="CL106" s="3">
        <f>SUM(OSRRefD93_3x_0_43)</f>
        <v>741.95</v>
      </c>
      <c r="CM106" s="1">
        <f t="shared" si="467"/>
        <v>1.6458883293773156E-2</v>
      </c>
      <c r="CN106" s="3">
        <f>SUM(OSRRefD93_3x_0_44)</f>
        <v>741.95</v>
      </c>
      <c r="CO106" s="1">
        <f t="shared" si="468"/>
        <v>1.7994955252116127E-2</v>
      </c>
      <c r="CP106" s="3">
        <f>SUM(OSRRefD93_3x_0_45)</f>
        <v>741.95</v>
      </c>
      <c r="CQ106" s="1">
        <f t="shared" si="469"/>
        <v>1.8734691816276548E-2</v>
      </c>
      <c r="CR106" s="3">
        <f>SUM(OSRRefD93_3x_0_46)</f>
        <v>741.95</v>
      </c>
      <c r="CS106" s="1">
        <f t="shared" si="470"/>
        <v>2.2538655487712264E-2</v>
      </c>
      <c r="CT106" s="3">
        <f>SUM(OSRRefD93_3x_0_47)</f>
        <v>741.95</v>
      </c>
      <c r="CU106" s="1">
        <f t="shared" si="471"/>
        <v>1.9415151118670679E-2</v>
      </c>
      <c r="CV106" s="3">
        <f>SUM(OSRRefD93_3x_0_48)</f>
        <v>741.95</v>
      </c>
      <c r="CW106" s="1">
        <f t="shared" si="472"/>
        <v>1.9020457342083675E-2</v>
      </c>
      <c r="CX106" s="3">
        <f>SUM(OSRRefD93_3x_0_49)</f>
        <v>741.95</v>
      </c>
      <c r="CY106" s="1">
        <f t="shared" si="473"/>
        <v>1.6456692913385827E-2</v>
      </c>
      <c r="CZ106" s="3">
        <f>SUM(OSRRefD93_3x_0_50)</f>
        <v>741.95</v>
      </c>
      <c r="DA106" s="1">
        <f t="shared" si="474"/>
        <v>1.6156392221762517E-2</v>
      </c>
      <c r="DB106" s="3">
        <f>SUM(OSRRefD93_3x_0_51)</f>
        <v>741.95</v>
      </c>
      <c r="DC106" s="1">
        <f t="shared" si="475"/>
        <v>1.588077910958904E-2</v>
      </c>
      <c r="DD106" s="3">
        <f>SUM(OSRRefF93_3x_0)</f>
        <v>38581.4</v>
      </c>
      <c r="DE106" s="1">
        <f t="shared" si="476"/>
        <v>1.725240588098776E-2</v>
      </c>
      <c r="DF106" s="28"/>
    </row>
    <row r="107" spans="2:110" outlineLevel="1" x14ac:dyDescent="0.25">
      <c r="D107" s="5"/>
      <c r="E107" s="2"/>
      <c r="F107" s="5"/>
      <c r="G107" s="2"/>
      <c r="H107" s="5"/>
      <c r="I107" s="2"/>
      <c r="J107" s="5"/>
      <c r="K107" s="2"/>
      <c r="L107" s="5"/>
      <c r="M107" s="2"/>
      <c r="N107" s="5"/>
      <c r="O107" s="2"/>
      <c r="P107" s="5"/>
      <c r="Q107" s="2"/>
      <c r="R107" s="5"/>
      <c r="S107" s="2"/>
      <c r="T107" s="5"/>
      <c r="U107" s="2"/>
      <c r="V107" s="5"/>
      <c r="W107" s="2"/>
      <c r="X107" s="5"/>
      <c r="Y107" s="2"/>
      <c r="Z107" s="5"/>
      <c r="AA107" s="2"/>
      <c r="AB107" s="5"/>
      <c r="AC107" s="2"/>
      <c r="AD107" s="5"/>
      <c r="AE107" s="2"/>
      <c r="AF107" s="5"/>
      <c r="AG107" s="2"/>
      <c r="AH107" s="5"/>
      <c r="AI107" s="2"/>
      <c r="AJ107" s="5"/>
      <c r="AK107" s="2"/>
      <c r="AL107" s="5"/>
      <c r="AM107" s="2"/>
      <c r="AN107" s="5"/>
      <c r="AO107" s="2"/>
      <c r="AP107" s="5"/>
      <c r="AQ107" s="2"/>
      <c r="AR107" s="5"/>
      <c r="AS107" s="2"/>
      <c r="AT107" s="5"/>
      <c r="AU107" s="2"/>
      <c r="AV107" s="5"/>
      <c r="AW107" s="2"/>
      <c r="AX107" s="5"/>
      <c r="AY107" s="2"/>
      <c r="AZ107" s="5"/>
      <c r="BA107" s="2"/>
      <c r="BB107" s="5"/>
      <c r="BC107" s="2"/>
      <c r="BD107" s="5"/>
      <c r="BE107" s="2"/>
      <c r="BF107" s="5"/>
      <c r="BG107" s="2"/>
      <c r="BH107" s="5"/>
      <c r="BI107" s="2"/>
      <c r="BJ107" s="5"/>
      <c r="BK107" s="2"/>
      <c r="BL107" s="5"/>
      <c r="BM107" s="2"/>
      <c r="BN107" s="5"/>
      <c r="BO107" s="2"/>
      <c r="BP107" s="5"/>
      <c r="BQ107" s="2"/>
      <c r="BR107" s="5"/>
      <c r="BS107" s="2"/>
      <c r="BT107" s="5"/>
      <c r="BU107" s="2"/>
      <c r="BV107" s="5"/>
      <c r="BW107" s="2"/>
      <c r="BX107" s="5"/>
      <c r="BY107" s="2"/>
      <c r="BZ107" s="5"/>
      <c r="CA107" s="2"/>
      <c r="CB107" s="5"/>
      <c r="CC107" s="2"/>
      <c r="CD107" s="5"/>
      <c r="CE107" s="2"/>
      <c r="CF107" s="5"/>
      <c r="CG107" s="2"/>
      <c r="CH107" s="5"/>
      <c r="CI107" s="2"/>
      <c r="CJ107" s="5"/>
      <c r="CK107" s="2"/>
      <c r="CL107" s="5"/>
      <c r="CM107" s="2"/>
      <c r="CN107" s="5"/>
      <c r="CO107" s="2"/>
      <c r="CP107" s="5"/>
      <c r="CQ107" s="2"/>
      <c r="CR107" s="5"/>
      <c r="CS107" s="2"/>
      <c r="CT107" s="5"/>
      <c r="CU107" s="2"/>
      <c r="CV107" s="5"/>
      <c r="CW107" s="2"/>
      <c r="CX107" s="5"/>
      <c r="CY107" s="2"/>
      <c r="CZ107" s="5"/>
      <c r="DA107" s="2"/>
      <c r="DB107" s="5"/>
      <c r="DC107" s="2"/>
      <c r="DD107" s="5"/>
      <c r="DE107" s="2"/>
      <c r="DF107" s="28"/>
    </row>
    <row r="108" spans="2:110" outlineLevel="1" x14ac:dyDescent="0.25">
      <c r="B108">
        <v>53312</v>
      </c>
      <c r="C108" t="s">
        <v>60</v>
      </c>
      <c r="D108" s="5">
        <f>IFERROR(453,0)</f>
        <v>453</v>
      </c>
      <c r="E108" s="4">
        <f t="shared" ref="E108:E110" si="477">IFERROR(D108/D$11,0)</f>
        <v>1.1997775246974072E-2</v>
      </c>
      <c r="F108" s="5">
        <f>IFERROR(454,0)</f>
        <v>454</v>
      </c>
      <c r="G108" s="4">
        <f t="shared" ref="G108:G110" si="478">IFERROR(F108/F$11,0)</f>
        <v>1.199566676354797E-2</v>
      </c>
      <c r="H108" s="5">
        <f>IFERROR(392,0)</f>
        <v>392</v>
      </c>
      <c r="I108" s="4">
        <f t="shared" ref="I108:I110" si="479">IFERROR(H108/H$11,0)</f>
        <v>1.1996205282002632E-2</v>
      </c>
      <c r="J108" s="5">
        <f>IFERROR(458,0)</f>
        <v>458</v>
      </c>
      <c r="K108" s="4">
        <f t="shared" ref="K108:K110" si="480">IFERROR(J108/J$11,0)</f>
        <v>1.1991726232555703E-2</v>
      </c>
      <c r="L108" s="5">
        <f>IFERROR(486,0)</f>
        <v>486</v>
      </c>
      <c r="M108" s="4">
        <f t="shared" ref="M108:M110" si="481">IFERROR(L108/L$11,0)</f>
        <v>1.2011269833423953E-2</v>
      </c>
      <c r="N108" s="5">
        <f>IFERROR(482,0)</f>
        <v>482</v>
      </c>
      <c r="O108" s="4">
        <f t="shared" ref="O108:O110" si="482">IFERROR(N108/N$11,0)</f>
        <v>1.2002589770406892E-2</v>
      </c>
      <c r="P108" s="5">
        <f>IFERROR(666,0)</f>
        <v>666</v>
      </c>
      <c r="Q108" s="4">
        <f t="shared" ref="Q108:Q110" si="483">IFERROR(P108/P$11,0)</f>
        <v>1.2005407841369987E-2</v>
      </c>
      <c r="R108" s="5">
        <f>IFERROR(659,0)</f>
        <v>659</v>
      </c>
      <c r="S108" s="4">
        <f t="shared" ref="S108:S110" si="484">IFERROR(R108/R$11,0)</f>
        <v>1.1993811993811995E-2</v>
      </c>
      <c r="T108" s="5">
        <f>IFERROR(649,0)</f>
        <v>649</v>
      </c>
      <c r="U108" s="4">
        <f t="shared" ref="U108:U110" si="485">IFERROR(T108/T$11,0)</f>
        <v>1.2006289889926927E-2</v>
      </c>
      <c r="V108" s="5">
        <f>IFERROR(670,0)</f>
        <v>670</v>
      </c>
      <c r="W108" s="4">
        <f t="shared" ref="W108:W110" si="486">IFERROR(V108/V$11,0)</f>
        <v>1.1997493061151401E-2</v>
      </c>
      <c r="X108" s="5">
        <f>IFERROR(637,0)</f>
        <v>637</v>
      </c>
      <c r="Y108" s="4">
        <f t="shared" ref="Y108:Y110" si="487">IFERROR(X108/X$11,0)</f>
        <v>1.1995781703137358E-2</v>
      </c>
      <c r="Z108" s="5">
        <f>IFERROR(607,0)</f>
        <v>607</v>
      </c>
      <c r="AA108" s="4">
        <f t="shared" ref="AA108:AA110" si="488">IFERROR(Z108/Z$11,0)</f>
        <v>1.2007912957467854E-2</v>
      </c>
      <c r="AB108" s="5">
        <f>IFERROR(634,0)</f>
        <v>634</v>
      </c>
      <c r="AC108" s="4">
        <f t="shared" ref="AC108:AC110" si="489">IFERROR(AB108/AB$11,0)</f>
        <v>1.2004847383170491E-2</v>
      </c>
      <c r="AD108" s="5">
        <f>IFERROR(576,0)</f>
        <v>576</v>
      </c>
      <c r="AE108" s="4">
        <f t="shared" ref="AE108:AE110" si="490">IFERROR(AD108/AD$11,0)</f>
        <v>1.1993503518927248E-2</v>
      </c>
      <c r="AF108" s="5">
        <f>IFERROR(593,0)</f>
        <v>593</v>
      </c>
      <c r="AG108" s="4">
        <f t="shared" ref="AG108:AG110" si="491">IFERROR(AF108/AF$11,0)</f>
        <v>1.2009396897403702E-2</v>
      </c>
      <c r="AH108" s="5">
        <f>IFERROR(482,0)</f>
        <v>482</v>
      </c>
      <c r="AI108" s="4">
        <f t="shared" ref="AI108:AI110" si="492">IFERROR(AH108/AH$11,0)</f>
        <v>1.1992137934466201E-2</v>
      </c>
      <c r="AJ108" s="5">
        <f>IFERROR(578,0)</f>
        <v>578</v>
      </c>
      <c r="AK108" s="4">
        <f t="shared" ref="AK108:AK110" si="493">IFERROR(AJ108/AJ$11,0)</f>
        <v>1.2006397872914978E-2</v>
      </c>
      <c r="AL108" s="5">
        <f>IFERROR(539,0)</f>
        <v>539</v>
      </c>
      <c r="AM108" s="4">
        <f t="shared" ref="AM108:AM110" si="494">IFERROR(AL108/AL$11,0)</f>
        <v>1.2000979671809943E-2</v>
      </c>
      <c r="AN108" s="5">
        <f>IFERROR(657,0)</f>
        <v>657</v>
      </c>
      <c r="AO108" s="4">
        <f t="shared" ref="AO108:AO110" si="495">IFERROR(AN108/AN$11,0)</f>
        <v>1.2005481955230698E-2</v>
      </c>
      <c r="AP108" s="5">
        <f>IFERROR(591,0)</f>
        <v>591</v>
      </c>
      <c r="AQ108" s="4">
        <f t="shared" ref="AQ108:AQ110" si="496">IFERROR(AP108/AP$11,0)</f>
        <v>1.2006094464195023E-2</v>
      </c>
      <c r="AR108" s="5">
        <f>IFERROR(610,0)</f>
        <v>610</v>
      </c>
      <c r="AS108" s="4">
        <f t="shared" ref="AS108:AS110" si="497">IFERROR(AR108/AR$11,0)</f>
        <v>1.1994415714650883E-2</v>
      </c>
      <c r="AT108" s="5">
        <f>IFERROR(578,0)</f>
        <v>578</v>
      </c>
      <c r="AU108" s="4">
        <f t="shared" ref="AU108:AU110" si="498">IFERROR(AT108/AT$11,0)</f>
        <v>1.1997177134791814E-2</v>
      </c>
      <c r="AV108" s="5">
        <f>IFERROR(495,0)</f>
        <v>495</v>
      </c>
      <c r="AW108" s="4">
        <f t="shared" ref="AW108:AW110" si="499">IFERROR(AV108/AV$11,0)</f>
        <v>1.2011356191308145E-2</v>
      </c>
      <c r="AX108" s="5">
        <f>IFERROR(618,0)</f>
        <v>618</v>
      </c>
      <c r="AY108" s="4">
        <f t="shared" ref="AY108:AY110" si="500">IFERROR(AX108/AX$11,0)</f>
        <v>1.2008860907077066E-2</v>
      </c>
      <c r="AZ108" s="5">
        <f>IFERROR(499,0)</f>
        <v>499</v>
      </c>
      <c r="BA108" s="4">
        <f t="shared" ref="BA108:BA110" si="501">IFERROR(AZ108/AZ$11,0)</f>
        <v>1.199663421084265E-2</v>
      </c>
      <c r="BB108" s="5">
        <f>IFERROR(521,0)</f>
        <v>521</v>
      </c>
      <c r="BC108" s="4">
        <f t="shared" ref="BC108:BC110" si="502">IFERROR(BB108/BB$11,0)</f>
        <v>1.2002119376166232E-2</v>
      </c>
      <c r="BD108" s="5">
        <f>IFERROR(479,0)</f>
        <v>479</v>
      </c>
      <c r="BE108" s="4">
        <f t="shared" ref="BE108:BE110" si="503">IFERROR(BD108/BD$11,0)</f>
        <v>1.2002906758212846E-2</v>
      </c>
      <c r="BF108" s="5">
        <f>IFERROR(467,0)</f>
        <v>467</v>
      </c>
      <c r="BG108" s="4">
        <f t="shared" ref="BG108:BG110" si="504">IFERROR(BF108/BF$11,0)</f>
        <v>1.1989422607891967E-2</v>
      </c>
      <c r="BH108" s="5">
        <f>IFERROR(453,0)</f>
        <v>453</v>
      </c>
      <c r="BI108" s="4">
        <f t="shared" ref="BI108:BI110" si="505">IFERROR(BH108/BH$11,0)</f>
        <v>1.2012091641917692E-2</v>
      </c>
      <c r="BJ108" s="5">
        <f>IFERROR(464,0)</f>
        <v>464</v>
      </c>
      <c r="BK108" s="4">
        <f t="shared" ref="BK108:BK110" si="506">IFERROR(BJ108/BJ$11,0)</f>
        <v>1.1994313041230451E-2</v>
      </c>
      <c r="BL108" s="5">
        <f>IFERROR(513,0)</f>
        <v>513</v>
      </c>
      <c r="BM108" s="4">
        <f t="shared" ref="BM108:BM110" si="507">IFERROR(BL108/BL$11,0)</f>
        <v>1.1996351986530412E-2</v>
      </c>
      <c r="BN108" s="5">
        <f>IFERROR(481,0)</f>
        <v>481</v>
      </c>
      <c r="BO108" s="4">
        <f t="shared" ref="BO108:BO110" si="508">IFERROR(BN108/BN$11,0)</f>
        <v>1.2004292595273153E-2</v>
      </c>
      <c r="BP108" s="5">
        <f>IFERROR(425,0)</f>
        <v>425</v>
      </c>
      <c r="BQ108" s="4">
        <f t="shared" ref="BQ108:BQ110" si="509">IFERROR(BP108/BP$11,0)</f>
        <v>1.198736390816269E-2</v>
      </c>
      <c r="BR108" s="5">
        <f>IFERROR(398,0)</f>
        <v>398</v>
      </c>
      <c r="BS108" s="4">
        <f t="shared" ref="BS108:BS110" si="510">IFERROR(BR108/BR$11,0)</f>
        <v>1.1995539347177432E-2</v>
      </c>
      <c r="BT108" s="5">
        <f>IFERROR(512,0)</f>
        <v>512</v>
      </c>
      <c r="BU108" s="4">
        <f t="shared" ref="BU108:BU110" si="511">IFERROR(BT108/BT$11,0)</f>
        <v>1.2000468768311262E-2</v>
      </c>
      <c r="BV108" s="5">
        <f>IFERROR(411,0)</f>
        <v>411</v>
      </c>
      <c r="BW108" s="4">
        <f t="shared" ref="BW108:BW110" si="512">IFERROR(BV108/BV$11,0)</f>
        <v>1.2003504672897196E-2</v>
      </c>
      <c r="BX108" s="5">
        <f>IFERROR(447,0)</f>
        <v>447</v>
      </c>
      <c r="BY108" s="4">
        <f t="shared" ref="BY108:BY110" si="513">IFERROR(BX108/BX$11,0)</f>
        <v>1.1990986640914213E-2</v>
      </c>
      <c r="BZ108" s="5">
        <f>IFERROR(394,0)</f>
        <v>394</v>
      </c>
      <c r="CA108" s="4">
        <f t="shared" ref="CA108:CA110" si="514">IFERROR(BZ108/BZ$11,0)</f>
        <v>1.1999025459861128E-2</v>
      </c>
      <c r="CB108" s="5">
        <f>IFERROR(446,0)</f>
        <v>446</v>
      </c>
      <c r="CC108" s="4">
        <f t="shared" ref="CC108:CC110" si="515">IFERROR(CB108/CB$11,0)</f>
        <v>1.1987313874106327E-2</v>
      </c>
      <c r="CD108" s="5">
        <f>IFERROR(448,0)</f>
        <v>448</v>
      </c>
      <c r="CE108" s="4">
        <f t="shared" ref="CE108:CE110" si="516">IFERROR(CD108/CD$11,0)</f>
        <v>1.1994645247657296E-2</v>
      </c>
      <c r="CF108" s="5">
        <f>IFERROR(459,0)</f>
        <v>459</v>
      </c>
      <c r="CG108" s="4">
        <f t="shared" ref="CG108:CG110" si="517">IFERROR(CF108/CF$11,0)</f>
        <v>1.2009419152276294E-2</v>
      </c>
      <c r="CH108" s="5">
        <f>IFERROR(470,0)</f>
        <v>470</v>
      </c>
      <c r="CI108" s="4">
        <f t="shared" ref="CI108:CI110" si="518">IFERROR(CH108/CH$11,0)</f>
        <v>1.2004495300367797E-2</v>
      </c>
      <c r="CJ108" s="5">
        <f>IFERROR(500,0)</f>
        <v>500</v>
      </c>
      <c r="CK108" s="4">
        <f t="shared" ref="CK108:CK110" si="519">IFERROR(CJ108/CJ$11,0)</f>
        <v>1.2004801920768308E-2</v>
      </c>
      <c r="CL108" s="5">
        <f>IFERROR(541,0)</f>
        <v>541</v>
      </c>
      <c r="CM108" s="4">
        <f t="shared" ref="CM108:CM110" si="520">IFERROR(CL108/CL$11,0)</f>
        <v>1.2001153530468732E-2</v>
      </c>
      <c r="CN108" s="5">
        <f>IFERROR(495,0)</f>
        <v>495</v>
      </c>
      <c r="CO108" s="4">
        <f t="shared" ref="CO108:CO110" si="521">IFERROR(CN108/CN$11,0)</f>
        <v>1.2005529819795784E-2</v>
      </c>
      <c r="CP108" s="5">
        <f>IFERROR(475,0)</f>
        <v>475</v>
      </c>
      <c r="CQ108" s="4">
        <f t="shared" ref="CQ108:CQ110" si="522">IFERROR(CP108/CP$11,0)</f>
        <v>1.1994040855490745E-2</v>
      </c>
      <c r="CR108" s="5">
        <f>IFERROR(395,0)</f>
        <v>395</v>
      </c>
      <c r="CS108" s="4">
        <f t="shared" ref="CS108:CS110" si="523">IFERROR(CR108/CR$11,0)</f>
        <v>1.1999149427382363E-2</v>
      </c>
      <c r="CT108" s="5">
        <f>IFERROR(459,0)</f>
        <v>459</v>
      </c>
      <c r="CU108" s="4">
        <f t="shared" ref="CU108:CU110" si="524">IFERROR(CT108/CT$11,0)</f>
        <v>1.2010990448776659E-2</v>
      </c>
      <c r="CV108" s="5">
        <f>IFERROR(468,0)</f>
        <v>468</v>
      </c>
      <c r="CW108" s="4">
        <f t="shared" ref="CW108:CW110" si="525">IFERROR(CV108/CV$11,0)</f>
        <v>1.1997538966365873E-2</v>
      </c>
      <c r="CX108" s="5">
        <f>IFERROR(541,0)</f>
        <v>541</v>
      </c>
      <c r="CY108" s="4">
        <f t="shared" ref="CY108:CY110" si="526">IFERROR(CX108/CX$11,0)</f>
        <v>1.1999556393478984E-2</v>
      </c>
      <c r="CZ108" s="5">
        <f>IFERROR(551,0)</f>
        <v>551</v>
      </c>
      <c r="DA108" s="4">
        <f t="shared" ref="DA108:DA110" si="527">IFERROR(CZ108/CZ$11,0)</f>
        <v>1.1998345055854365E-2</v>
      </c>
      <c r="DB108" s="5">
        <f>IFERROR(561,0)</f>
        <v>561</v>
      </c>
      <c r="DC108" s="4">
        <f t="shared" ref="DC108:DC110" si="528">IFERROR(DB108/DB$11,0)</f>
        <v>1.2007705479452055E-2</v>
      </c>
      <c r="DD108" s="5">
        <f>SUM(OSRRefD93_4_0x_0)</f>
        <v>26837</v>
      </c>
      <c r="DE108" s="4">
        <f t="shared" ref="DE108:DE110" si="529">IFERROR(DD108/DD$11,0)</f>
        <v>1.2000674330845135E-2</v>
      </c>
      <c r="DF108" s="28"/>
    </row>
    <row r="109" spans="2:110" outlineLevel="1" x14ac:dyDescent="0.25">
      <c r="B109">
        <v>57600</v>
      </c>
      <c r="C109" t="s">
        <v>61</v>
      </c>
      <c r="D109" s="5">
        <f>IFERROR(137.76,0)</f>
        <v>137.76</v>
      </c>
      <c r="E109" s="4">
        <f t="shared" si="477"/>
        <v>3.6485949625235051E-3</v>
      </c>
      <c r="F109" s="5">
        <f>IFERROR(138.48,0)</f>
        <v>138.47999999999999</v>
      </c>
      <c r="G109" s="4">
        <f t="shared" si="478"/>
        <v>3.6589425846170103E-3</v>
      </c>
      <c r="H109" s="5">
        <f>IFERROR(144.48,0)</f>
        <v>144.47999999999999</v>
      </c>
      <c r="I109" s="4">
        <f t="shared" si="479"/>
        <v>4.4214585182238272E-3</v>
      </c>
      <c r="J109" s="5">
        <f>IFERROR(151.92,0)</f>
        <v>151.91999999999999</v>
      </c>
      <c r="K109" s="4">
        <f t="shared" si="480"/>
        <v>3.9776922472704417E-3</v>
      </c>
      <c r="L109" s="5">
        <f>IFERROR(154.08,0)</f>
        <v>154.08000000000001</v>
      </c>
      <c r="M109" s="4">
        <f t="shared" si="481"/>
        <v>3.8080173990410757E-3</v>
      </c>
      <c r="N109" s="5">
        <f>IFERROR(151.2,0)</f>
        <v>151.19999999999999</v>
      </c>
      <c r="O109" s="4">
        <f t="shared" si="482"/>
        <v>3.7651277454056474E-3</v>
      </c>
      <c r="P109" s="5">
        <f>IFERROR(151.2,0)</f>
        <v>151.19999999999999</v>
      </c>
      <c r="Q109" s="4">
        <f t="shared" si="483"/>
        <v>2.725552050473186E-3</v>
      </c>
      <c r="R109" s="5">
        <f>IFERROR(151.2,0)</f>
        <v>151.19999999999999</v>
      </c>
      <c r="S109" s="4">
        <f t="shared" si="484"/>
        <v>2.7518427518427517E-3</v>
      </c>
      <c r="T109" s="5">
        <f>IFERROR(150.96,0)</f>
        <v>150.96</v>
      </c>
      <c r="U109" s="4">
        <f t="shared" si="485"/>
        <v>2.7927111275552678E-3</v>
      </c>
      <c r="V109" s="5">
        <f>IFERROR(151.2,0)</f>
        <v>151.19999999999999</v>
      </c>
      <c r="W109" s="4">
        <f t="shared" si="486"/>
        <v>2.7074939564867041E-3</v>
      </c>
      <c r="X109" s="5">
        <f>IFERROR(151.2,0)</f>
        <v>151.19999999999999</v>
      </c>
      <c r="Y109" s="4">
        <f t="shared" si="487"/>
        <v>2.8473503822831528E-3</v>
      </c>
      <c r="Z109" s="5">
        <f>IFERROR(150.96,0)</f>
        <v>150.96</v>
      </c>
      <c r="AA109" s="4">
        <f t="shared" si="488"/>
        <v>2.9863501483679525E-3</v>
      </c>
      <c r="AB109" s="5">
        <f>IFERROR(150.96,0)</f>
        <v>150.96</v>
      </c>
      <c r="AC109" s="4">
        <f t="shared" si="489"/>
        <v>2.8584412633492389E-3</v>
      </c>
      <c r="AD109" s="5">
        <f>IFERROR(150.96,0)</f>
        <v>150.96</v>
      </c>
      <c r="AE109" s="4">
        <f t="shared" si="490"/>
        <v>3.1432973805855164E-3</v>
      </c>
      <c r="AF109" s="5">
        <f>IFERROR(151.2,0)</f>
        <v>151.19999999999999</v>
      </c>
      <c r="AG109" s="4">
        <f t="shared" si="491"/>
        <v>3.0620924298270483E-3</v>
      </c>
      <c r="AH109" s="5">
        <f>IFERROR(150.96,0)</f>
        <v>150.96</v>
      </c>
      <c r="AI109" s="4">
        <f t="shared" si="492"/>
        <v>3.7558778891846841E-3</v>
      </c>
      <c r="AJ109" s="5">
        <f>IFERROR(151.2,0)</f>
        <v>151.19999999999999</v>
      </c>
      <c r="AK109" s="4">
        <f t="shared" si="493"/>
        <v>3.1407739764441949E-3</v>
      </c>
      <c r="AL109" s="5">
        <f>IFERROR(151.2,0)</f>
        <v>151.19999999999999</v>
      </c>
      <c r="AM109" s="4">
        <f t="shared" si="494"/>
        <v>3.366508583260971E-3</v>
      </c>
      <c r="AN109" s="5">
        <f>IFERROR(151.2,0)</f>
        <v>151.19999999999999</v>
      </c>
      <c r="AO109" s="4">
        <f t="shared" si="495"/>
        <v>2.7629054362722704E-3</v>
      </c>
      <c r="AP109" s="5">
        <f>IFERROR(151.2,0)</f>
        <v>151.19999999999999</v>
      </c>
      <c r="AQ109" s="4">
        <f t="shared" si="496"/>
        <v>3.0716099542915185E-3</v>
      </c>
      <c r="AR109" s="5">
        <f>IFERROR(151.2,0)</f>
        <v>151.19999999999999</v>
      </c>
      <c r="AS109" s="4">
        <f t="shared" si="497"/>
        <v>2.9730420591069073E-3</v>
      </c>
      <c r="AT109" s="5">
        <f>IFERROR(151.2,0)</f>
        <v>151.19999999999999</v>
      </c>
      <c r="AU109" s="4">
        <f t="shared" si="498"/>
        <v>3.1383619079247789E-3</v>
      </c>
      <c r="AV109" s="5">
        <f>IFERROR(151.2,0)</f>
        <v>151.19999999999999</v>
      </c>
      <c r="AW109" s="4">
        <f t="shared" si="499"/>
        <v>3.6689233457086697E-3</v>
      </c>
      <c r="AX109" s="5">
        <f>IFERROR(150.96,0)</f>
        <v>150.96</v>
      </c>
      <c r="AY109" s="4">
        <f t="shared" si="500"/>
        <v>2.9334266060394077E-3</v>
      </c>
      <c r="AZ109" s="5">
        <f>IFERROR(150.96,0)</f>
        <v>150.96</v>
      </c>
      <c r="BA109" s="4">
        <f t="shared" si="501"/>
        <v>3.6292823656689506E-3</v>
      </c>
      <c r="BB109" s="5">
        <f>IFERROR(150.96,0)</f>
        <v>150.96</v>
      </c>
      <c r="BC109" s="4">
        <f t="shared" si="502"/>
        <v>3.4776198484185311E-3</v>
      </c>
      <c r="BD109" s="5">
        <f>IFERROR(150.96,0)</f>
        <v>150.96</v>
      </c>
      <c r="BE109" s="4">
        <f t="shared" si="503"/>
        <v>3.7827949983712133E-3</v>
      </c>
      <c r="BF109" s="5">
        <f>IFERROR(151.2,0)</f>
        <v>151.19999999999999</v>
      </c>
      <c r="BG109" s="4">
        <f t="shared" si="504"/>
        <v>3.8818002105209105E-3</v>
      </c>
      <c r="BH109" s="5">
        <f>IFERROR(151.2,0)</f>
        <v>151.19999999999999</v>
      </c>
      <c r="BI109" s="4">
        <f t="shared" si="505"/>
        <v>4.0093338990241827E-3</v>
      </c>
      <c r="BJ109" s="5">
        <f>IFERROR(151.2,0)</f>
        <v>151.19999999999999</v>
      </c>
      <c r="BK109" s="4">
        <f t="shared" si="506"/>
        <v>3.9084916634354394E-3</v>
      </c>
      <c r="BL109" s="5">
        <f>IFERROR(150.96,0)</f>
        <v>150.96</v>
      </c>
      <c r="BM109" s="4">
        <f t="shared" si="507"/>
        <v>3.5301545728784233E-3</v>
      </c>
      <c r="BN109" s="5">
        <f>IFERROR(151.2,0)</f>
        <v>151.19999999999999</v>
      </c>
      <c r="BO109" s="4">
        <f t="shared" si="508"/>
        <v>3.7734907284933485E-3</v>
      </c>
      <c r="BP109" s="5">
        <f>IFERROR(151.2,0)</f>
        <v>151.19999999999999</v>
      </c>
      <c r="BQ109" s="4">
        <f t="shared" si="509"/>
        <v>4.2646809950922316E-3</v>
      </c>
      <c r="BR109" s="5">
        <f>IFERROR(152.88,0)</f>
        <v>152.88</v>
      </c>
      <c r="BS109" s="4">
        <f t="shared" si="510"/>
        <v>4.6077338075288582E-3</v>
      </c>
      <c r="BT109" s="5">
        <f>IFERROR(118.08,0)</f>
        <v>118.08</v>
      </c>
      <c r="BU109" s="4">
        <f t="shared" si="511"/>
        <v>2.7676081096917847E-3</v>
      </c>
      <c r="BV109" s="5">
        <f>IFERROR(105.6,0)</f>
        <v>105.6</v>
      </c>
      <c r="BW109" s="4">
        <f t="shared" si="512"/>
        <v>3.08411214953271E-3</v>
      </c>
      <c r="BX109" s="5">
        <f>IFERROR(113.52,0)</f>
        <v>113.52</v>
      </c>
      <c r="BY109" s="4">
        <f t="shared" si="513"/>
        <v>3.0452277482697567E-3</v>
      </c>
      <c r="BZ109" s="5">
        <f>IFERROR(98.64,0)</f>
        <v>98.64</v>
      </c>
      <c r="CA109" s="4">
        <f t="shared" si="514"/>
        <v>3.0040199780728468E-3</v>
      </c>
      <c r="CB109" s="5">
        <f>IFERROR(162.48,0)</f>
        <v>162.47999999999999</v>
      </c>
      <c r="CC109" s="4">
        <f t="shared" si="515"/>
        <v>4.3670375745847442E-3</v>
      </c>
      <c r="CD109" s="5">
        <f>IFERROR(160.08,0)</f>
        <v>160.08000000000001</v>
      </c>
      <c r="CE109" s="4">
        <f t="shared" si="516"/>
        <v>4.2859437751004018E-3</v>
      </c>
      <c r="CF109" s="5">
        <f>IFERROR(151.2,0)</f>
        <v>151.19999999999999</v>
      </c>
      <c r="CG109" s="4">
        <f t="shared" si="517"/>
        <v>3.956043956043956E-3</v>
      </c>
      <c r="CH109" s="5">
        <f>IFERROR(130.32,0)</f>
        <v>130.32</v>
      </c>
      <c r="CI109" s="4">
        <f t="shared" si="518"/>
        <v>3.3285655905190025E-3</v>
      </c>
      <c r="CJ109" s="5">
        <f>IFERROR(151.2,0)</f>
        <v>151.19999999999999</v>
      </c>
      <c r="CK109" s="4">
        <f t="shared" si="519"/>
        <v>3.6302521008403357E-3</v>
      </c>
      <c r="CL109" s="5">
        <f>IFERROR(151.2,0)</f>
        <v>151.19999999999999</v>
      </c>
      <c r="CM109" s="4">
        <f t="shared" si="520"/>
        <v>3.3541116706226845E-3</v>
      </c>
      <c r="CN109" s="5">
        <f>IFERROR(151.2,0)</f>
        <v>151.19999999999999</v>
      </c>
      <c r="CO109" s="4">
        <f t="shared" si="521"/>
        <v>3.6671436540467121E-3</v>
      </c>
      <c r="CP109" s="5">
        <f>IFERROR(150.96,0)</f>
        <v>150.96</v>
      </c>
      <c r="CQ109" s="4">
        <f t="shared" si="522"/>
        <v>3.8118324369365961E-3</v>
      </c>
      <c r="CR109" s="5">
        <f>IFERROR(151.2,0)</f>
        <v>151.19999999999999</v>
      </c>
      <c r="CS109" s="4">
        <f t="shared" si="523"/>
        <v>4.5930921352410458E-3</v>
      </c>
      <c r="CT109" s="5">
        <f>IFERROR(150.96,0)</f>
        <v>150.96</v>
      </c>
      <c r="CU109" s="4">
        <f t="shared" si="524"/>
        <v>3.9502813031532125E-3</v>
      </c>
      <c r="CV109" s="5">
        <f>IFERROR(151.2,0)</f>
        <v>151.19999999999999</v>
      </c>
      <c r="CW109" s="4">
        <f t="shared" si="525"/>
        <v>3.8761279737489743E-3</v>
      </c>
      <c r="CX109" s="5">
        <f>IFERROR(151.2,0)</f>
        <v>151.19999999999999</v>
      </c>
      <c r="CY109" s="4">
        <f t="shared" si="526"/>
        <v>3.3536652988798931E-3</v>
      </c>
      <c r="CZ109" s="5">
        <f>IFERROR(150.96,0)</f>
        <v>150.96</v>
      </c>
      <c r="DA109" s="4">
        <f t="shared" si="527"/>
        <v>3.2872416871720053E-3</v>
      </c>
      <c r="DB109" s="5">
        <f>IFERROR(150.96,0)</f>
        <v>150.96</v>
      </c>
      <c r="DC109" s="4">
        <f t="shared" si="528"/>
        <v>3.2311643835616442E-3</v>
      </c>
      <c r="DD109" s="5">
        <f>SUM(OSRRefD93_4_1x_0)</f>
        <v>7661.7599999999975</v>
      </c>
      <c r="DE109" s="4">
        <f t="shared" si="529"/>
        <v>3.4261015225657116E-3</v>
      </c>
      <c r="DF109" s="28"/>
    </row>
    <row r="110" spans="2:110" outlineLevel="1" x14ac:dyDescent="0.25">
      <c r="B110">
        <v>57760</v>
      </c>
      <c r="C110" t="s">
        <v>62</v>
      </c>
      <c r="D110" s="5">
        <f>IFERROR(0,0)</f>
        <v>0</v>
      </c>
      <c r="E110" s="4">
        <f t="shared" si="477"/>
        <v>0</v>
      </c>
      <c r="F110" s="5">
        <f>IFERROR(0,0)</f>
        <v>0</v>
      </c>
      <c r="G110" s="4">
        <f t="shared" si="478"/>
        <v>0</v>
      </c>
      <c r="H110" s="5">
        <f>IFERROR(0,0)</f>
        <v>0</v>
      </c>
      <c r="I110" s="4">
        <f t="shared" si="479"/>
        <v>0</v>
      </c>
      <c r="J110" s="5">
        <f>IFERROR(0,0)</f>
        <v>0</v>
      </c>
      <c r="K110" s="4">
        <f t="shared" si="480"/>
        <v>0</v>
      </c>
      <c r="L110" s="5">
        <f>IFERROR(0,0)</f>
        <v>0</v>
      </c>
      <c r="M110" s="4">
        <f t="shared" si="481"/>
        <v>0</v>
      </c>
      <c r="N110" s="5">
        <f>IFERROR(0,0)</f>
        <v>0</v>
      </c>
      <c r="O110" s="4">
        <f t="shared" si="482"/>
        <v>0</v>
      </c>
      <c r="P110" s="5">
        <f>IFERROR(0,0)</f>
        <v>0</v>
      </c>
      <c r="Q110" s="4">
        <f t="shared" si="483"/>
        <v>0</v>
      </c>
      <c r="R110" s="5">
        <f>IFERROR(0,0)</f>
        <v>0</v>
      </c>
      <c r="S110" s="4">
        <f t="shared" si="484"/>
        <v>0</v>
      </c>
      <c r="T110" s="5">
        <f>IFERROR(0,0)</f>
        <v>0</v>
      </c>
      <c r="U110" s="4">
        <f t="shared" si="485"/>
        <v>0</v>
      </c>
      <c r="V110" s="5">
        <f>IFERROR(0,0)</f>
        <v>0</v>
      </c>
      <c r="W110" s="4">
        <f t="shared" si="486"/>
        <v>0</v>
      </c>
      <c r="X110" s="5">
        <f>IFERROR(225,0)</f>
        <v>225</v>
      </c>
      <c r="Y110" s="4">
        <f t="shared" si="487"/>
        <v>4.2371285450642157E-3</v>
      </c>
      <c r="Z110" s="5">
        <f>IFERROR(225,0)</f>
        <v>225</v>
      </c>
      <c r="AA110" s="4">
        <f t="shared" si="488"/>
        <v>4.4510385756676559E-3</v>
      </c>
      <c r="AB110" s="5">
        <f>IFERROR(225,0)</f>
        <v>225</v>
      </c>
      <c r="AC110" s="4">
        <f t="shared" si="489"/>
        <v>4.2603953646898436E-3</v>
      </c>
      <c r="AD110" s="5">
        <f>IFERROR(225,0)</f>
        <v>225</v>
      </c>
      <c r="AE110" s="4">
        <f t="shared" si="490"/>
        <v>4.6849623120809565E-3</v>
      </c>
      <c r="AF110" s="5">
        <f>IFERROR(225,0)</f>
        <v>225</v>
      </c>
      <c r="AG110" s="4">
        <f t="shared" si="491"/>
        <v>4.5566851634331077E-3</v>
      </c>
      <c r="AH110" s="5">
        <f>IFERROR(225,0)</f>
        <v>225</v>
      </c>
      <c r="AI110" s="4">
        <f t="shared" si="492"/>
        <v>5.5979896996989527E-3</v>
      </c>
      <c r="AJ110" s="5">
        <f>IFERROR(225,0)</f>
        <v>225</v>
      </c>
      <c r="AK110" s="4">
        <f t="shared" si="493"/>
        <v>4.6737707982800521E-3</v>
      </c>
      <c r="AL110" s="5">
        <f>IFERROR(225,0)</f>
        <v>225</v>
      </c>
      <c r="AM110" s="4">
        <f t="shared" si="494"/>
        <v>5.0096853917573981E-3</v>
      </c>
      <c r="AN110" s="5">
        <f>IFERROR(225,0)</f>
        <v>225</v>
      </c>
      <c r="AO110" s="4">
        <f t="shared" si="495"/>
        <v>4.1114664230242123E-3</v>
      </c>
      <c r="AP110" s="5">
        <f>IFERROR(225,0)</f>
        <v>225</v>
      </c>
      <c r="AQ110" s="4">
        <f t="shared" si="496"/>
        <v>4.5708481462671405E-3</v>
      </c>
      <c r="AR110" s="5">
        <f>IFERROR(225,0)</f>
        <v>225</v>
      </c>
      <c r="AS110" s="4">
        <f t="shared" si="497"/>
        <v>4.4241697308138508E-3</v>
      </c>
      <c r="AT110" s="5">
        <f>IFERROR(225,0)</f>
        <v>225</v>
      </c>
      <c r="AU110" s="4">
        <f t="shared" si="498"/>
        <v>4.6701814106023497E-3</v>
      </c>
      <c r="AV110" s="5">
        <f>IFERROR(225,0)</f>
        <v>225</v>
      </c>
      <c r="AW110" s="4">
        <f t="shared" si="499"/>
        <v>5.4597073596855212E-3</v>
      </c>
      <c r="AX110" s="5">
        <f>IFERROR(225,0)</f>
        <v>225</v>
      </c>
      <c r="AY110" s="4">
        <f t="shared" si="500"/>
        <v>4.372158097236796E-3</v>
      </c>
      <c r="AZ110" s="5">
        <f>IFERROR(225,0)</f>
        <v>225</v>
      </c>
      <c r="BA110" s="4">
        <f t="shared" si="501"/>
        <v>5.4093040028849624E-3</v>
      </c>
      <c r="BB110" s="5">
        <f>IFERROR(225,0)</f>
        <v>225</v>
      </c>
      <c r="BC110" s="4">
        <f t="shared" si="502"/>
        <v>5.1832569282867606E-3</v>
      </c>
      <c r="BD110" s="5">
        <f>IFERROR(225,0)</f>
        <v>225</v>
      </c>
      <c r="BE110" s="4">
        <f t="shared" si="503"/>
        <v>5.6381086025008142E-3</v>
      </c>
      <c r="BF110" s="5">
        <f>IFERROR(225,0)</f>
        <v>225</v>
      </c>
      <c r="BG110" s="4">
        <f t="shared" si="504"/>
        <v>5.7764884085132603E-3</v>
      </c>
      <c r="BH110" s="5">
        <f>IFERROR(225,0)</f>
        <v>225</v>
      </c>
      <c r="BI110" s="4">
        <f t="shared" si="505"/>
        <v>5.9662706830717017E-3</v>
      </c>
      <c r="BJ110" s="5">
        <f>IFERROR(225,0)</f>
        <v>225</v>
      </c>
      <c r="BK110" s="4">
        <f t="shared" si="506"/>
        <v>5.8162078324932144E-3</v>
      </c>
      <c r="BL110" s="5">
        <f>IFERROR(225,0)</f>
        <v>225</v>
      </c>
      <c r="BM110" s="4">
        <f t="shared" si="507"/>
        <v>5.2615578888291284E-3</v>
      </c>
      <c r="BN110" s="5">
        <f>IFERROR(225,0)</f>
        <v>225</v>
      </c>
      <c r="BO110" s="4">
        <f t="shared" si="508"/>
        <v>5.6153135840674839E-3</v>
      </c>
      <c r="BP110" s="5">
        <f>IFERROR(225,0)</f>
        <v>225</v>
      </c>
      <c r="BQ110" s="4">
        <f t="shared" si="509"/>
        <v>6.3462514807920119E-3</v>
      </c>
      <c r="BR110" s="5">
        <f>IFERROR(225,0)</f>
        <v>225</v>
      </c>
      <c r="BS110" s="4">
        <f t="shared" si="510"/>
        <v>6.7813978721480454E-3</v>
      </c>
      <c r="BT110" s="5">
        <f>IFERROR(225,0)</f>
        <v>225</v>
      </c>
      <c r="BU110" s="4">
        <f t="shared" si="511"/>
        <v>5.2736435016992851E-3</v>
      </c>
      <c r="BV110" s="5">
        <f>IFERROR(225,0)</f>
        <v>225</v>
      </c>
      <c r="BW110" s="4">
        <f t="shared" si="512"/>
        <v>6.5712616822429905E-3</v>
      </c>
      <c r="BX110" s="5">
        <f>IFERROR(225,0)</f>
        <v>225</v>
      </c>
      <c r="BY110" s="4">
        <f t="shared" si="513"/>
        <v>6.0357315306615164E-3</v>
      </c>
      <c r="BZ110" s="5">
        <f>IFERROR(225,0)</f>
        <v>225</v>
      </c>
      <c r="CA110" s="4">
        <f t="shared" si="514"/>
        <v>6.8522353514435374E-3</v>
      </c>
      <c r="CB110" s="5">
        <f>IFERROR(225,0)</f>
        <v>225</v>
      </c>
      <c r="CC110" s="4">
        <f t="shared" si="515"/>
        <v>6.047411707789066E-3</v>
      </c>
      <c r="CD110" s="5">
        <f>IFERROR(225,0)</f>
        <v>225</v>
      </c>
      <c r="CE110" s="4">
        <f t="shared" si="516"/>
        <v>6.024096385542169E-3</v>
      </c>
      <c r="CF110" s="5">
        <f>IFERROR(225,0)</f>
        <v>225</v>
      </c>
      <c r="CG110" s="4">
        <f t="shared" si="517"/>
        <v>5.8869701726844588E-3</v>
      </c>
      <c r="CH110" s="5">
        <f>IFERROR(225,0)</f>
        <v>225</v>
      </c>
      <c r="CI110" s="4">
        <f t="shared" si="518"/>
        <v>5.7468328565590523E-3</v>
      </c>
      <c r="CJ110" s="5">
        <f>IFERROR(225,0)</f>
        <v>225</v>
      </c>
      <c r="CK110" s="4">
        <f t="shared" si="519"/>
        <v>5.4021608643457387E-3</v>
      </c>
      <c r="CL110" s="5">
        <f>IFERROR(0,0)</f>
        <v>0</v>
      </c>
      <c r="CM110" s="4">
        <f t="shared" si="520"/>
        <v>0</v>
      </c>
      <c r="CN110" s="5">
        <f>IFERROR(0,0)</f>
        <v>0</v>
      </c>
      <c r="CO110" s="4">
        <f t="shared" si="521"/>
        <v>0</v>
      </c>
      <c r="CP110" s="5">
        <f>IFERROR(0,0)</f>
        <v>0</v>
      </c>
      <c r="CQ110" s="4">
        <f t="shared" si="522"/>
        <v>0</v>
      </c>
      <c r="CR110" s="5">
        <f>IFERROR(0,0)</f>
        <v>0</v>
      </c>
      <c r="CS110" s="4">
        <f t="shared" si="523"/>
        <v>0</v>
      </c>
      <c r="CT110" s="5">
        <f>IFERROR(0,0)</f>
        <v>0</v>
      </c>
      <c r="CU110" s="4">
        <f t="shared" si="524"/>
        <v>0</v>
      </c>
      <c r="CV110" s="5">
        <f>IFERROR(0,0)</f>
        <v>0</v>
      </c>
      <c r="CW110" s="4">
        <f t="shared" si="525"/>
        <v>0</v>
      </c>
      <c r="CX110" s="5">
        <f>IFERROR(0,0)</f>
        <v>0</v>
      </c>
      <c r="CY110" s="4">
        <f t="shared" si="526"/>
        <v>0</v>
      </c>
      <c r="CZ110" s="5">
        <f>IFERROR(0,0)</f>
        <v>0</v>
      </c>
      <c r="DA110" s="4">
        <f t="shared" si="527"/>
        <v>0</v>
      </c>
      <c r="DB110" s="5">
        <f>IFERROR(0,0)</f>
        <v>0</v>
      </c>
      <c r="DC110" s="4">
        <f t="shared" si="528"/>
        <v>0</v>
      </c>
      <c r="DD110" s="5">
        <f>SUM(OSRRefD93_4_2x_0)</f>
        <v>7425</v>
      </c>
      <c r="DE110" s="4">
        <f t="shared" si="529"/>
        <v>3.3202297912033811E-3</v>
      </c>
      <c r="DF110" s="28"/>
    </row>
    <row r="111" spans="2:110" x14ac:dyDescent="0.25">
      <c r="C111" s="31" t="str">
        <f>"TOTAL " &amp; "Other"</f>
        <v>TOTAL Other</v>
      </c>
      <c r="D111" s="3">
        <f>SUM(OSRRefD93_4x_0_0)</f>
        <v>590.76</v>
      </c>
      <c r="E111" s="1">
        <f>IFERROR(D111/D$11,0)</f>
        <v>1.5646370209497575E-2</v>
      </c>
      <c r="F111" s="3">
        <f>SUM(OSRRefD93_4x_0_1)</f>
        <v>592.48</v>
      </c>
      <c r="G111" s="1">
        <f>IFERROR(F111/F$11,0)</f>
        <v>1.5654609348164979E-2</v>
      </c>
      <c r="H111" s="3">
        <f>SUM(OSRRefD93_4x_0_2)</f>
        <v>536.48</v>
      </c>
      <c r="I111" s="1">
        <f>IFERROR(H111/H$11,0)</f>
        <v>1.641766380022646E-2</v>
      </c>
      <c r="J111" s="3">
        <f>SUM(OSRRefD93_4x_0_3)</f>
        <v>609.91999999999996</v>
      </c>
      <c r="K111" s="1">
        <f>IFERROR(J111/J$11,0)</f>
        <v>1.5969418479826147E-2</v>
      </c>
      <c r="L111" s="3">
        <f>SUM(OSRRefD93_4x_0_4)</f>
        <v>640.08000000000004</v>
      </c>
      <c r="M111" s="1">
        <f>IFERROR(L111/L$11,0)</f>
        <v>1.5819287232465031E-2</v>
      </c>
      <c r="N111" s="3">
        <f>SUM(OSRRefD93_4x_0_5)</f>
        <v>633.20000000000005</v>
      </c>
      <c r="O111" s="1">
        <f>IFERROR(N111/N$11,0)</f>
        <v>1.5767717515812543E-2</v>
      </c>
      <c r="P111" s="3">
        <f>SUM(OSRRefD93_4x_0_6)</f>
        <v>817.2</v>
      </c>
      <c r="Q111" s="1">
        <f>IFERROR(P111/P$11,0)</f>
        <v>1.4730959891843174E-2</v>
      </c>
      <c r="R111" s="3">
        <f>SUM(OSRRefD93_4x_0_7)</f>
        <v>810.2</v>
      </c>
      <c r="S111" s="1">
        <f>IFERROR(R111/R$11,0)</f>
        <v>1.4745654745654747E-2</v>
      </c>
      <c r="T111" s="3">
        <f>SUM(OSRRefD93_4x_0_8)</f>
        <v>799.96</v>
      </c>
      <c r="U111" s="1">
        <f>IFERROR(T111/T$11,0)</f>
        <v>1.4799001017482195E-2</v>
      </c>
      <c r="V111" s="3">
        <f>SUM(OSRRefD93_4x_0_9)</f>
        <v>821.2</v>
      </c>
      <c r="W111" s="1">
        <f>IFERROR(V111/V$11,0)</f>
        <v>1.4704987017638105E-2</v>
      </c>
      <c r="X111" s="3">
        <f>SUM(OSRRefD93_4x_0_10)</f>
        <v>1013.2</v>
      </c>
      <c r="Y111" s="1">
        <f>IFERROR(X111/X$11,0)</f>
        <v>1.9080260630484729E-2</v>
      </c>
      <c r="Z111" s="3">
        <f>SUM(OSRRefD93_4x_0_11)</f>
        <v>982.96</v>
      </c>
      <c r="AA111" s="1">
        <f>IFERROR(Z111/Z$11,0)</f>
        <v>1.9445301681503463E-2</v>
      </c>
      <c r="AB111" s="3">
        <f>SUM(OSRRefD93_4x_0_12)</f>
        <v>1009.96</v>
      </c>
      <c r="AC111" s="1">
        <f>IFERROR(AB111/AB$11,0)</f>
        <v>1.9123684011209573E-2</v>
      </c>
      <c r="AD111" s="3">
        <f>SUM(OSRRefD93_4x_0_13)</f>
        <v>951.96</v>
      </c>
      <c r="AE111" s="1">
        <f>IFERROR(AD111/AD$11,0)</f>
        <v>1.9821763211593721E-2</v>
      </c>
      <c r="AF111" s="3">
        <f>SUM(OSRRefD93_4x_0_14)</f>
        <v>969.2</v>
      </c>
      <c r="AG111" s="1">
        <f>IFERROR(AF111/AF$11,0)</f>
        <v>1.9628174490663858E-2</v>
      </c>
      <c r="AH111" s="3">
        <f>SUM(OSRRefD93_4x_0_15)</f>
        <v>857.96</v>
      </c>
      <c r="AI111" s="1">
        <f>IFERROR(AH111/AH$11,0)</f>
        <v>2.1346005523349837E-2</v>
      </c>
      <c r="AJ111" s="3">
        <f>SUM(OSRRefD93_4x_0_16)</f>
        <v>954.2</v>
      </c>
      <c r="AK111" s="1">
        <f>IFERROR(AJ111/AJ$11,0)</f>
        <v>1.9820942647639228E-2</v>
      </c>
      <c r="AL111" s="3">
        <f>SUM(OSRRefD93_4x_0_17)</f>
        <v>915.2</v>
      </c>
      <c r="AM111" s="1">
        <f>IFERROR(AL111/AL$11,0)</f>
        <v>2.0377173646828315E-2</v>
      </c>
      <c r="AN111" s="3">
        <f>SUM(OSRRefD93_4x_0_18)</f>
        <v>1033.2</v>
      </c>
      <c r="AO111" s="1">
        <f>IFERROR(AN111/AN$11,0)</f>
        <v>1.8879853814527184E-2</v>
      </c>
      <c r="AP111" s="3">
        <f>SUM(OSRRefD93_4x_0_19)</f>
        <v>967.2</v>
      </c>
      <c r="AQ111" s="1">
        <f>IFERROR(AP111/AP$11,0)</f>
        <v>1.9648552564753684E-2</v>
      </c>
      <c r="AR111" s="3">
        <f>SUM(OSRRefD93_4x_0_20)</f>
        <v>986.2</v>
      </c>
      <c r="AS111" s="1">
        <f>IFERROR(AR111/AR$11,0)</f>
        <v>1.9391627504571643E-2</v>
      </c>
      <c r="AT111" s="3">
        <f>SUM(OSRRefD93_4x_0_21)</f>
        <v>954.2</v>
      </c>
      <c r="AU111" s="1">
        <f>IFERROR(AT111/AT$11,0)</f>
        <v>1.9805720453318944E-2</v>
      </c>
      <c r="AV111" s="3">
        <f>SUM(OSRRefD93_4x_0_22)</f>
        <v>871.2</v>
      </c>
      <c r="AW111" s="1">
        <f>IFERROR(AV111/AV$11,0)</f>
        <v>2.1139986896702337E-2</v>
      </c>
      <c r="AX111" s="3">
        <f>SUM(OSRRefD93_4x_0_23)</f>
        <v>993.96</v>
      </c>
      <c r="AY111" s="1">
        <f>IFERROR(AX111/AX$11,0)</f>
        <v>1.9314445610353271E-2</v>
      </c>
      <c r="AZ111" s="3">
        <f>SUM(OSRRefD93_4x_0_24)</f>
        <v>874.96</v>
      </c>
      <c r="BA111" s="1">
        <f>IFERROR(AZ111/AZ$11,0)</f>
        <v>2.1035220579396562E-2</v>
      </c>
      <c r="BB111" s="3">
        <f>SUM(OSRRefD93_4x_0_25)</f>
        <v>896.96</v>
      </c>
      <c r="BC111" s="1">
        <f>IFERROR(BB111/BB$11,0)</f>
        <v>2.0662996152871524E-2</v>
      </c>
      <c r="BD111" s="3">
        <f>SUM(OSRRefD93_4x_0_26)</f>
        <v>854.96</v>
      </c>
      <c r="BE111" s="1">
        <f>IFERROR(BD111/BD$11,0)</f>
        <v>2.1423810359084874E-2</v>
      </c>
      <c r="BF111" s="3">
        <f>SUM(OSRRefD93_4x_0_27)</f>
        <v>843.2</v>
      </c>
      <c r="BG111" s="1">
        <f>IFERROR(BF111/BF$11,0)</f>
        <v>2.1647711226926138E-2</v>
      </c>
      <c r="BH111" s="3">
        <f>SUM(OSRRefD93_4x_0_28)</f>
        <v>829.2</v>
      </c>
      <c r="BI111" s="1">
        <f>IFERROR(BH111/BH$11,0)</f>
        <v>2.1987696224013576E-2</v>
      </c>
      <c r="BJ111" s="3">
        <f>SUM(OSRRefD93_4x_0_29)</f>
        <v>840.2</v>
      </c>
      <c r="BK111" s="1">
        <f>IFERROR(BJ111/BJ$11,0)</f>
        <v>2.1719012537159108E-2</v>
      </c>
      <c r="BL111" s="3">
        <f>SUM(OSRRefD93_4x_0_30)</f>
        <v>888.96</v>
      </c>
      <c r="BM111" s="1">
        <f>IFERROR(BL111/BL$11,0)</f>
        <v>2.0788064448237963E-2</v>
      </c>
      <c r="BN111" s="3">
        <f>SUM(OSRRefD93_4x_0_31)</f>
        <v>857.2</v>
      </c>
      <c r="BO111" s="1">
        <f>IFERROR(BN111/BN$11,0)</f>
        <v>2.1393096907833989E-2</v>
      </c>
      <c r="BP111" s="3">
        <f>SUM(OSRRefD93_4x_0_32)</f>
        <v>801.2</v>
      </c>
      <c r="BQ111" s="1">
        <f>IFERROR(BP111/BP$11,0)</f>
        <v>2.2598296384046937E-2</v>
      </c>
      <c r="BR111" s="3">
        <f>SUM(OSRRefD93_4x_0_33)</f>
        <v>775.88</v>
      </c>
      <c r="BS111" s="1">
        <f>IFERROR(BR111/BR$11,0)</f>
        <v>2.3384671026854334E-2</v>
      </c>
      <c r="BT111" s="3">
        <f>SUM(OSRRefD93_4x_0_34)</f>
        <v>855.08</v>
      </c>
      <c r="BU111" s="1">
        <f>IFERROR(BT111/BT$11,0)</f>
        <v>2.0041720379702335E-2</v>
      </c>
      <c r="BV111" s="3">
        <f>SUM(OSRRefD93_4x_0_35)</f>
        <v>741.6</v>
      </c>
      <c r="BW111" s="1">
        <f>IFERROR(BV111/BV$11,0)</f>
        <v>2.1658878504672897E-2</v>
      </c>
      <c r="BX111" s="3">
        <f>SUM(OSRRefD93_4x_0_36)</f>
        <v>785.52</v>
      </c>
      <c r="BY111" s="1">
        <f>IFERROR(BX111/BX$11,0)</f>
        <v>2.1071945919845486E-2</v>
      </c>
      <c r="BZ111" s="3">
        <f>SUM(OSRRefD93_4x_0_37)</f>
        <v>717.64</v>
      </c>
      <c r="CA111" s="1">
        <f>IFERROR(BZ111/BZ$11,0)</f>
        <v>2.1855280789377513E-2</v>
      </c>
      <c r="CB111" s="3">
        <f>SUM(OSRRefD93_4x_0_38)</f>
        <v>833.48</v>
      </c>
      <c r="CC111" s="1">
        <f>IFERROR(CB111/CB$11,0)</f>
        <v>2.2401763156480139E-2</v>
      </c>
      <c r="CD111" s="3">
        <f>SUM(OSRRefD93_4x_0_39)</f>
        <v>833.08</v>
      </c>
      <c r="CE111" s="1">
        <f>IFERROR(CD111/CD$11,0)</f>
        <v>2.2304685408299867E-2</v>
      </c>
      <c r="CF111" s="3">
        <f>SUM(OSRRefD93_4x_0_40)</f>
        <v>835.2</v>
      </c>
      <c r="CG111" s="1">
        <f>IFERROR(CF111/CF$11,0)</f>
        <v>2.185243328100471E-2</v>
      </c>
      <c r="CH111" s="3">
        <f>SUM(OSRRefD93_4x_0_41)</f>
        <v>825.31999999999994</v>
      </c>
      <c r="CI111" s="1">
        <f>IFERROR(CH111/CH$11,0)</f>
        <v>2.1079893747445851E-2</v>
      </c>
      <c r="CJ111" s="3">
        <f>SUM(OSRRefD93_4x_0_42)</f>
        <v>876.2</v>
      </c>
      <c r="CK111" s="1">
        <f>IFERROR(CJ111/CJ$11,0)</f>
        <v>2.1037214885954381E-2</v>
      </c>
      <c r="CL111" s="3">
        <f>SUM(OSRRefD93_4x_0_43)</f>
        <v>692.2</v>
      </c>
      <c r="CM111" s="1">
        <f>IFERROR(CL111/CL$11,0)</f>
        <v>1.5355265201091418E-2</v>
      </c>
      <c r="CN111" s="3">
        <f>SUM(OSRRefD93_4x_0_44)</f>
        <v>646.20000000000005</v>
      </c>
      <c r="CO111" s="1">
        <f>IFERROR(CN111/CN$11,0)</f>
        <v>1.5672673473842498E-2</v>
      </c>
      <c r="CP111" s="3">
        <f>SUM(OSRRefD93_4x_0_45)</f>
        <v>625.96</v>
      </c>
      <c r="CQ111" s="1">
        <f>IFERROR(CP111/CP$11,0)</f>
        <v>1.5805873292427341E-2</v>
      </c>
      <c r="CR111" s="3">
        <f>SUM(OSRRefD93_4x_0_46)</f>
        <v>546.20000000000005</v>
      </c>
      <c r="CS111" s="1">
        <f>IFERROR(CR111/CR$11,0)</f>
        <v>1.659224156262341E-2</v>
      </c>
      <c r="CT111" s="3">
        <f>SUM(OSRRefD93_4x_0_47)</f>
        <v>609.96</v>
      </c>
      <c r="CU111" s="1">
        <f>IFERROR(CT111/CT$11,0)</f>
        <v>1.5961271751929872E-2</v>
      </c>
      <c r="CV111" s="3">
        <f>SUM(OSRRefD93_4x_0_48)</f>
        <v>619.20000000000005</v>
      </c>
      <c r="CW111" s="1">
        <f>IFERROR(CV111/CV$11,0)</f>
        <v>1.5873666940114849E-2</v>
      </c>
      <c r="CX111" s="3">
        <f>SUM(OSRRefD93_4x_0_49)</f>
        <v>692.2</v>
      </c>
      <c r="CY111" s="1">
        <f>IFERROR(CX111/CX$11,0)</f>
        <v>1.5353221692358879E-2</v>
      </c>
      <c r="CZ111" s="3">
        <f>SUM(OSRRefD93_4x_0_50)</f>
        <v>701.96</v>
      </c>
      <c r="DA111" s="1">
        <f>IFERROR(CZ111/CZ$11,0)</f>
        <v>1.5285586743026372E-2</v>
      </c>
      <c r="DB111" s="3">
        <f>SUM(OSRRefD93_4x_0_51)</f>
        <v>711.96</v>
      </c>
      <c r="DC111" s="1">
        <f>IFERROR(DB111/DB$11,0)</f>
        <v>1.5238869863013699E-2</v>
      </c>
      <c r="DD111" s="3">
        <f>SUM(OSRRefF93_4x_0)</f>
        <v>41923.759999999995</v>
      </c>
      <c r="DE111" s="1">
        <f>IFERROR(DD111/DD$11,0)</f>
        <v>1.8747005644614227E-2</v>
      </c>
      <c r="DF111" s="28"/>
    </row>
    <row r="112" spans="2:110" outlineLevel="1" x14ac:dyDescent="0.25">
      <c r="D112" s="5"/>
      <c r="E112" s="2"/>
      <c r="F112" s="5"/>
      <c r="G112" s="2"/>
      <c r="H112" s="5"/>
      <c r="I112" s="2"/>
      <c r="J112" s="5"/>
      <c r="K112" s="2"/>
      <c r="L112" s="5"/>
      <c r="M112" s="2"/>
      <c r="N112" s="5"/>
      <c r="O112" s="2"/>
      <c r="P112" s="5"/>
      <c r="Q112" s="2"/>
      <c r="R112" s="5"/>
      <c r="S112" s="2"/>
      <c r="T112" s="5"/>
      <c r="U112" s="2"/>
      <c r="V112" s="5"/>
      <c r="W112" s="2"/>
      <c r="X112" s="5"/>
      <c r="Y112" s="2"/>
      <c r="Z112" s="5"/>
      <c r="AA112" s="2"/>
      <c r="AB112" s="5"/>
      <c r="AC112" s="2"/>
      <c r="AD112" s="5"/>
      <c r="AE112" s="2"/>
      <c r="AF112" s="5"/>
      <c r="AG112" s="2"/>
      <c r="AH112" s="5"/>
      <c r="AI112" s="2"/>
      <c r="AJ112" s="5"/>
      <c r="AK112" s="2"/>
      <c r="AL112" s="5"/>
      <c r="AM112" s="2"/>
      <c r="AN112" s="5"/>
      <c r="AO112" s="2"/>
      <c r="AP112" s="5"/>
      <c r="AQ112" s="2"/>
      <c r="AR112" s="5"/>
      <c r="AS112" s="2"/>
      <c r="AT112" s="5"/>
      <c r="AU112" s="2"/>
      <c r="AV112" s="5"/>
      <c r="AW112" s="2"/>
      <c r="AX112" s="5"/>
      <c r="AY112" s="2"/>
      <c r="AZ112" s="5"/>
      <c r="BA112" s="2"/>
      <c r="BB112" s="5"/>
      <c r="BC112" s="2"/>
      <c r="BD112" s="5"/>
      <c r="BE112" s="2"/>
      <c r="BF112" s="5"/>
      <c r="BG112" s="2"/>
      <c r="BH112" s="5"/>
      <c r="BI112" s="2"/>
      <c r="BJ112" s="5"/>
      <c r="BK112" s="2"/>
      <c r="BL112" s="5"/>
      <c r="BM112" s="2"/>
      <c r="BN112" s="5"/>
      <c r="BO112" s="2"/>
      <c r="BP112" s="5"/>
      <c r="BQ112" s="2"/>
      <c r="BR112" s="5"/>
      <c r="BS112" s="2"/>
      <c r="BT112" s="5"/>
      <c r="BU112" s="2"/>
      <c r="BV112" s="5"/>
      <c r="BW112" s="2"/>
      <c r="BX112" s="5"/>
      <c r="BY112" s="2"/>
      <c r="BZ112" s="5"/>
      <c r="CA112" s="2"/>
      <c r="CB112" s="5"/>
      <c r="CC112" s="2"/>
      <c r="CD112" s="5"/>
      <c r="CE112" s="2"/>
      <c r="CF112" s="5"/>
      <c r="CG112" s="2"/>
      <c r="CH112" s="5"/>
      <c r="CI112" s="2"/>
      <c r="CJ112" s="5"/>
      <c r="CK112" s="2"/>
      <c r="CL112" s="5"/>
      <c r="CM112" s="2"/>
      <c r="CN112" s="5"/>
      <c r="CO112" s="2"/>
      <c r="CP112" s="5"/>
      <c r="CQ112" s="2"/>
      <c r="CR112" s="5"/>
      <c r="CS112" s="2"/>
      <c r="CT112" s="5"/>
      <c r="CU112" s="2"/>
      <c r="CV112" s="5"/>
      <c r="CW112" s="2"/>
      <c r="CX112" s="5"/>
      <c r="CY112" s="2"/>
      <c r="CZ112" s="5"/>
      <c r="DA112" s="2"/>
      <c r="DB112" s="5"/>
      <c r="DC112" s="2"/>
      <c r="DD112" s="5"/>
      <c r="DE112" s="2"/>
      <c r="DF112" s="28"/>
    </row>
    <row r="113" spans="2:110" outlineLevel="1" x14ac:dyDescent="0.25">
      <c r="B113">
        <v>54022</v>
      </c>
      <c r="C113" t="s">
        <v>63</v>
      </c>
      <c r="D113" s="5">
        <f>IFERROR(755,0)</f>
        <v>755</v>
      </c>
      <c r="E113" s="4">
        <f t="shared" ref="E113:E114" si="530">IFERROR(D113/D$11,0)</f>
        <v>1.999629207829012E-2</v>
      </c>
      <c r="F113" s="5">
        <f>IFERROR(757,0)</f>
        <v>757</v>
      </c>
      <c r="G113" s="4">
        <f t="shared" ref="G113:G114" si="531">IFERROR(F113/F$11,0)</f>
        <v>2.0001585330409279E-2</v>
      </c>
      <c r="H113" s="5">
        <f>IFERROR(654,0)</f>
        <v>654</v>
      </c>
      <c r="I113" s="4">
        <f t="shared" ref="I113:I114" si="532">IFERROR(H113/H$11,0)</f>
        <v>2.0014077179667657E-2</v>
      </c>
      <c r="J113" s="5">
        <f>IFERROR(764,0)</f>
        <v>764</v>
      </c>
      <c r="K113" s="4">
        <f t="shared" ref="K113:K114" si="533">IFERROR(J113/J$11,0)</f>
        <v>2.0003665593171523E-2</v>
      </c>
      <c r="L113" s="5">
        <f>IFERROR(809,0)</f>
        <v>809</v>
      </c>
      <c r="M113" s="4">
        <f t="shared" ref="M113:M114" si="534">IFERROR(L113/L$11,0)</f>
        <v>1.9994068508724237E-2</v>
      </c>
      <c r="N113" s="5">
        <f>IFERROR(803,0)</f>
        <v>803</v>
      </c>
      <c r="O113" s="4">
        <f t="shared" ref="O113:O114" si="535">IFERROR(N113/N$11,0)</f>
        <v>1.9996015737835549E-2</v>
      </c>
      <c r="P113" s="5">
        <f>IFERROR(1110,0)</f>
        <v>1110</v>
      </c>
      <c r="Q113" s="4">
        <f t="shared" ref="Q113:Q114" si="536">IFERROR(P113/P$11,0)</f>
        <v>2.0009013068949977E-2</v>
      </c>
      <c r="R113" s="5">
        <f>IFERROR(1099,0)</f>
        <v>1099</v>
      </c>
      <c r="S113" s="4">
        <f t="shared" ref="S113:S114" si="537">IFERROR(R113/R$11,0)</f>
        <v>2.0001820001820002E-2</v>
      </c>
      <c r="T113" s="5">
        <f>IFERROR(1081,0)</f>
        <v>1081</v>
      </c>
      <c r="U113" s="4">
        <f t="shared" ref="U113:U114" si="538">IFERROR(T113/T$11,0)</f>
        <v>1.9998150032374432E-2</v>
      </c>
      <c r="V113" s="5">
        <f>IFERROR(1117,0)</f>
        <v>1117</v>
      </c>
      <c r="W113" s="4">
        <f t="shared" ref="W113:W114" si="539">IFERROR(V113/V$11,0)</f>
        <v>2.0001790670606142E-2</v>
      </c>
      <c r="X113" s="5">
        <f>IFERROR(1062,0)</f>
        <v>1062</v>
      </c>
      <c r="Y113" s="4">
        <f t="shared" ref="Y113:Y114" si="540">IFERROR(X113/X$11,0)</f>
        <v>1.9999246732703101E-2</v>
      </c>
      <c r="Z113" s="5">
        <f>IFERROR(1011,0)</f>
        <v>1011</v>
      </c>
      <c r="AA113" s="4">
        <f t="shared" ref="AA113:AA114" si="541">IFERROR(Z113/Z$11,0)</f>
        <v>0.02</v>
      </c>
      <c r="AB113" s="5">
        <f>IFERROR(1056,0)</f>
        <v>1056</v>
      </c>
      <c r="AC113" s="4">
        <f t="shared" ref="AC113:AC114" si="542">IFERROR(AB113/AB$11,0)</f>
        <v>1.9995455578277664E-2</v>
      </c>
      <c r="AD113" s="5">
        <f>IFERROR(961,0)</f>
        <v>961</v>
      </c>
      <c r="AE113" s="4">
        <f t="shared" ref="AE113:AE114" si="543">IFERROR(AD113/AD$11,0)</f>
        <v>2.0009994586265772E-2</v>
      </c>
      <c r="AF113" s="5">
        <f>IFERROR(988,0)</f>
        <v>988</v>
      </c>
      <c r="AG113" s="4">
        <f t="shared" ref="AG113:AG114" si="544">IFERROR(AF113/AF$11,0)</f>
        <v>2.0008910850986269E-2</v>
      </c>
      <c r="AH113" s="5">
        <f>IFERROR(804,0)</f>
        <v>804</v>
      </c>
      <c r="AI113" s="4">
        <f t="shared" ref="AI113:AI114" si="545">IFERROR(AH113/AH$11,0)</f>
        <v>2.0003483193590924E-2</v>
      </c>
      <c r="AJ113" s="5">
        <f>IFERROR(963,0)</f>
        <v>963</v>
      </c>
      <c r="AK113" s="4">
        <f t="shared" ref="AK113:AK114" si="546">IFERROR(AJ113/AJ$11,0)</f>
        <v>2.0003739016638624E-2</v>
      </c>
      <c r="AL113" s="5">
        <f>IFERROR(898,0)</f>
        <v>898</v>
      </c>
      <c r="AM113" s="4">
        <f t="shared" ref="AM113:AM114" si="547">IFERROR(AL113/AL$11,0)</f>
        <v>1.9994211030213968E-2</v>
      </c>
      <c r="AN113" s="5">
        <f>IFERROR(1095,0)</f>
        <v>1095</v>
      </c>
      <c r="AO113" s="4">
        <f t="shared" ref="AO113:AO114" si="548">IFERROR(AN113/AN$11,0)</f>
        <v>2.0009136592051165E-2</v>
      </c>
      <c r="AP113" s="5">
        <f>IFERROR(985,0)</f>
        <v>985</v>
      </c>
      <c r="AQ113" s="4">
        <f t="shared" ref="AQ113:AQ114" si="549">IFERROR(AP113/AP$11,0)</f>
        <v>2.0010157440325037E-2</v>
      </c>
      <c r="AR113" s="5">
        <f>IFERROR(1017,0)</f>
        <v>1017</v>
      </c>
      <c r="AS113" s="4">
        <f t="shared" ref="AS113:AS114" si="550">IFERROR(AR113/AR$11,0)</f>
        <v>1.9997247183278603E-2</v>
      </c>
      <c r="AT113" s="5">
        <f>IFERROR(964,0)</f>
        <v>964</v>
      </c>
      <c r="AU113" s="4">
        <f t="shared" ref="AU113:AU114" si="551">IFERROR(AT113/AT$11,0)</f>
        <v>2.0009132799202956E-2</v>
      </c>
      <c r="AV113" s="5">
        <f>IFERROR(824,0)</f>
        <v>824</v>
      </c>
      <c r="AW113" s="4">
        <f t="shared" ref="AW113:AW114" si="552">IFERROR(AV113/AV$11,0)</f>
        <v>1.9994661619470531E-2</v>
      </c>
      <c r="AX113" s="5">
        <f>IFERROR(1029,0)</f>
        <v>1029</v>
      </c>
      <c r="AY113" s="4">
        <f t="shared" ref="AY113:AY114" si="553">IFERROR(AX113/AX$11,0)</f>
        <v>1.9995336364696279E-2</v>
      </c>
      <c r="AZ113" s="5">
        <f>IFERROR(832,0)</f>
        <v>832</v>
      </c>
      <c r="BA113" s="4">
        <f t="shared" ref="BA113:BA114" si="554">IFERROR(AZ113/AZ$11,0)</f>
        <v>2.0002404135112395E-2</v>
      </c>
      <c r="BB113" s="5">
        <f>IFERROR(868,0)</f>
        <v>868</v>
      </c>
      <c r="BC113" s="4">
        <f t="shared" ref="BC113:BC114" si="555">IFERROR(BB113/BB$11,0)</f>
        <v>1.999585339445737E-2</v>
      </c>
      <c r="BD113" s="5">
        <f>IFERROR(798,0)</f>
        <v>798</v>
      </c>
      <c r="BE113" s="4">
        <f t="shared" ref="BE113:BE114" si="556">IFERROR(BD113/BD$11,0)</f>
        <v>1.9996491843536222E-2</v>
      </c>
      <c r="BF113" s="5">
        <f>IFERROR(779,0)</f>
        <v>779</v>
      </c>
      <c r="BG113" s="4">
        <f t="shared" ref="BG113:BG114" si="557">IFERROR(BF113/BF$11,0)</f>
        <v>1.9999486534363689E-2</v>
      </c>
      <c r="BH113" s="5">
        <f>IFERROR(754,0)</f>
        <v>754</v>
      </c>
      <c r="BI113" s="4">
        <f t="shared" ref="BI113:BI114" si="558">IFERROR(BH113/BH$11,0)</f>
        <v>1.9993635977938056E-2</v>
      </c>
      <c r="BJ113" s="5">
        <f>IFERROR(774,0)</f>
        <v>774</v>
      </c>
      <c r="BK113" s="4">
        <f t="shared" ref="BK113:BK114" si="559">IFERROR(BJ113/BJ$11,0)</f>
        <v>2.0007754943776657E-2</v>
      </c>
      <c r="BL113" s="5">
        <f>IFERROR(855,0)</f>
        <v>855</v>
      </c>
      <c r="BM113" s="4">
        <f t="shared" ref="BM113:BM114" si="560">IFERROR(BL113/BL$11,0)</f>
        <v>1.9993919977550685E-2</v>
      </c>
      <c r="BN113" s="5">
        <f>IFERROR(801,0)</f>
        <v>801</v>
      </c>
      <c r="BO113" s="4">
        <f t="shared" ref="BO113:BO114" si="561">IFERROR(BN113/BN$11,0)</f>
        <v>1.9990516359280241E-2</v>
      </c>
      <c r="BP113" s="5">
        <f>IFERROR(709,0)</f>
        <v>709</v>
      </c>
      <c r="BQ113" s="4">
        <f t="shared" ref="BQ113:BQ114" si="562">IFERROR(BP113/BP$11,0)</f>
        <v>1.9997743555029052E-2</v>
      </c>
      <c r="BR113" s="5">
        <f>IFERROR(664,0)</f>
        <v>664</v>
      </c>
      <c r="BS113" s="4">
        <f t="shared" ref="BS113:BS114" si="563">IFERROR(BR113/BR$11,0)</f>
        <v>2.0012658609361342E-2</v>
      </c>
      <c r="BT113" s="5">
        <f>IFERROR(853,0)</f>
        <v>853</v>
      </c>
      <c r="BU113" s="4">
        <f t="shared" ref="BU113:BU114" si="564">IFERROR(BT113/BT$11,0)</f>
        <v>1.9992968475331066E-2</v>
      </c>
      <c r="BV113" s="5">
        <f>IFERROR(685,0)</f>
        <v>685</v>
      </c>
      <c r="BW113" s="4">
        <f t="shared" ref="BW113:BW114" si="565">IFERROR(BV113/BV$11,0)</f>
        <v>2.0005841121495328E-2</v>
      </c>
      <c r="BX113" s="5">
        <f>IFERROR(746,0)</f>
        <v>746</v>
      </c>
      <c r="BY113" s="4">
        <f t="shared" ref="BY113:BY114" si="566">IFERROR(BX113/BX$11,0)</f>
        <v>2.0011803208326628E-2</v>
      </c>
      <c r="BZ113" s="5">
        <f>IFERROR(657,0)</f>
        <v>657</v>
      </c>
      <c r="CA113" s="4">
        <f t="shared" ref="CA113:CA114" si="567">IFERROR(BZ113/BZ$11,0)</f>
        <v>2.0008527226215128E-2</v>
      </c>
      <c r="CB113" s="5">
        <f>IFERROR(744,0)</f>
        <v>744</v>
      </c>
      <c r="CC113" s="4">
        <f t="shared" ref="CC113:CC114" si="568">IFERROR(CB113/CB$11,0)</f>
        <v>1.9996774713755845E-2</v>
      </c>
      <c r="CD113" s="5">
        <f>IFERROR(747,0)</f>
        <v>747</v>
      </c>
      <c r="CE113" s="4">
        <f t="shared" ref="CE113:CE114" si="569">IFERROR(CD113/CD$11,0)</f>
        <v>0.02</v>
      </c>
      <c r="CF113" s="5">
        <f>IFERROR(764,0)</f>
        <v>764</v>
      </c>
      <c r="CG113" s="4">
        <f t="shared" ref="CG113:CG114" si="570">IFERROR(CF113/CF$11,0)</f>
        <v>1.998953427524856E-2</v>
      </c>
      <c r="CH113" s="5">
        <f>IFERROR(783,0)</f>
        <v>783</v>
      </c>
      <c r="CI113" s="4">
        <f t="shared" ref="CI113:CI114" si="571">IFERROR(CH113/CH$11,0)</f>
        <v>1.99989783408255E-2</v>
      </c>
      <c r="CJ113" s="5">
        <f>IFERROR(833,0)</f>
        <v>833</v>
      </c>
      <c r="CK113" s="4">
        <f t="shared" ref="CK113:CK114" si="572">IFERROR(CJ113/CJ$11,0)</f>
        <v>0.02</v>
      </c>
      <c r="CL113" s="5">
        <f>IFERROR(902,0)</f>
        <v>902</v>
      </c>
      <c r="CM113" s="4">
        <f t="shared" ref="CM113:CM114" si="573">IFERROR(CL113/CL$11,0)</f>
        <v>2.000931697686284E-2</v>
      </c>
      <c r="CN113" s="5">
        <f>IFERROR(825,0)</f>
        <v>825</v>
      </c>
      <c r="CO113" s="4">
        <f t="shared" ref="CO113:CO114" si="574">IFERROR(CN113/CN$11,0)</f>
        <v>2.0009216366326309E-2</v>
      </c>
      <c r="CP113" s="5">
        <f>IFERROR(792,0)</f>
        <v>792</v>
      </c>
      <c r="CQ113" s="4">
        <f t="shared" ref="CQ113:CQ114" si="575">IFERROR(CP113/CP$11,0)</f>
        <v>1.9998484963260361E-2</v>
      </c>
      <c r="CR113" s="5">
        <f>IFERROR(658,0)</f>
        <v>658</v>
      </c>
      <c r="CS113" s="4">
        <f t="shared" ref="CS113:CS114" si="576">IFERROR(CR113/CR$11,0)</f>
        <v>1.9988456514474923E-2</v>
      </c>
      <c r="CT113" s="5">
        <f>IFERROR(764,0)</f>
        <v>764</v>
      </c>
      <c r="CU113" s="4">
        <f t="shared" ref="CU113:CU114" si="577">IFERROR(CT113/CT$11,0)</f>
        <v>1.9992149679445244E-2</v>
      </c>
      <c r="CV113" s="5">
        <f>IFERROR(780,0)</f>
        <v>780</v>
      </c>
      <c r="CW113" s="4">
        <f t="shared" ref="CW113:CW114" si="578">IFERROR(CV113/CV$11,0)</f>
        <v>1.9995898277276457E-2</v>
      </c>
      <c r="CX113" s="5">
        <f>IFERROR(902,0)</f>
        <v>902</v>
      </c>
      <c r="CY113" s="4">
        <f t="shared" ref="CY113:CY114" si="579">IFERROR(CX113/CX$11,0)</f>
        <v>2.0006654097815237E-2</v>
      </c>
      <c r="CZ113" s="5">
        <f>IFERROR(918,0)</f>
        <v>918</v>
      </c>
      <c r="DA113" s="4">
        <f t="shared" ref="DA113:DA114" si="580">IFERROR(CZ113/CZ$11,0)</f>
        <v>1.9989983232802735E-2</v>
      </c>
      <c r="DB113" s="5">
        <f>IFERROR(934,0)</f>
        <v>934</v>
      </c>
      <c r="DC113" s="4">
        <f t="shared" ref="DC113:DC114" si="581">IFERROR(DB113/DB$11,0)</f>
        <v>1.9991438356164383E-2</v>
      </c>
      <c r="DD113" s="5">
        <f>SUM(OSRRefD93_5_0x_0)</f>
        <v>44727</v>
      </c>
      <c r="DE113" s="4">
        <f t="shared" ref="DE113:DE114" si="582">IFERROR(DD113/DD$11,0)</f>
        <v>2.0000527659414628E-2</v>
      </c>
      <c r="DF113" s="28"/>
    </row>
    <row r="114" spans="2:110" x14ac:dyDescent="0.25">
      <c r="C114" s="31" t="str">
        <f>"TOTAL " &amp; "Repairs &amp; Maintenance"</f>
        <v>TOTAL Repairs &amp; Maintenance</v>
      </c>
      <c r="D114" s="3">
        <f>SUM(OSRRefD93_5x_0_0)</f>
        <v>755</v>
      </c>
      <c r="E114" s="1">
        <f t="shared" si="530"/>
        <v>1.999629207829012E-2</v>
      </c>
      <c r="F114" s="3">
        <f>SUM(OSRRefD93_5x_0_1)</f>
        <v>757</v>
      </c>
      <c r="G114" s="1">
        <f t="shared" si="531"/>
        <v>2.0001585330409279E-2</v>
      </c>
      <c r="H114" s="3">
        <f>SUM(OSRRefD93_5x_0_2)</f>
        <v>654</v>
      </c>
      <c r="I114" s="1">
        <f t="shared" si="532"/>
        <v>2.0014077179667657E-2</v>
      </c>
      <c r="J114" s="3">
        <f>SUM(OSRRefD93_5x_0_3)</f>
        <v>764</v>
      </c>
      <c r="K114" s="1">
        <f t="shared" si="533"/>
        <v>2.0003665593171523E-2</v>
      </c>
      <c r="L114" s="3">
        <f>SUM(OSRRefD93_5x_0_4)</f>
        <v>809</v>
      </c>
      <c r="M114" s="1">
        <f t="shared" si="534"/>
        <v>1.9994068508724237E-2</v>
      </c>
      <c r="N114" s="3">
        <f>SUM(OSRRefD93_5x_0_5)</f>
        <v>803</v>
      </c>
      <c r="O114" s="1">
        <f t="shared" si="535"/>
        <v>1.9996015737835549E-2</v>
      </c>
      <c r="P114" s="3">
        <f>SUM(OSRRefD93_5x_0_6)</f>
        <v>1110</v>
      </c>
      <c r="Q114" s="1">
        <f t="shared" si="536"/>
        <v>2.0009013068949977E-2</v>
      </c>
      <c r="R114" s="3">
        <f>SUM(OSRRefD93_5x_0_7)</f>
        <v>1099</v>
      </c>
      <c r="S114" s="1">
        <f t="shared" si="537"/>
        <v>2.0001820001820002E-2</v>
      </c>
      <c r="T114" s="3">
        <f>SUM(OSRRefD93_5x_0_8)</f>
        <v>1081</v>
      </c>
      <c r="U114" s="1">
        <f t="shared" si="538"/>
        <v>1.9998150032374432E-2</v>
      </c>
      <c r="V114" s="3">
        <f>SUM(OSRRefD93_5x_0_9)</f>
        <v>1117</v>
      </c>
      <c r="W114" s="1">
        <f t="shared" si="539"/>
        <v>2.0001790670606142E-2</v>
      </c>
      <c r="X114" s="3">
        <f>SUM(OSRRefD93_5x_0_10)</f>
        <v>1062</v>
      </c>
      <c r="Y114" s="1">
        <f t="shared" si="540"/>
        <v>1.9999246732703101E-2</v>
      </c>
      <c r="Z114" s="3">
        <f>SUM(OSRRefD93_5x_0_11)</f>
        <v>1011</v>
      </c>
      <c r="AA114" s="1">
        <f t="shared" si="541"/>
        <v>0.02</v>
      </c>
      <c r="AB114" s="3">
        <f>SUM(OSRRefD93_5x_0_12)</f>
        <v>1056</v>
      </c>
      <c r="AC114" s="1">
        <f t="shared" si="542"/>
        <v>1.9995455578277664E-2</v>
      </c>
      <c r="AD114" s="3">
        <f>SUM(OSRRefD93_5x_0_13)</f>
        <v>961</v>
      </c>
      <c r="AE114" s="1">
        <f t="shared" si="543"/>
        <v>2.0009994586265772E-2</v>
      </c>
      <c r="AF114" s="3">
        <f>SUM(OSRRefD93_5x_0_14)</f>
        <v>988</v>
      </c>
      <c r="AG114" s="1">
        <f t="shared" si="544"/>
        <v>2.0008910850986269E-2</v>
      </c>
      <c r="AH114" s="3">
        <f>SUM(OSRRefD93_5x_0_15)</f>
        <v>804</v>
      </c>
      <c r="AI114" s="1">
        <f t="shared" si="545"/>
        <v>2.0003483193590924E-2</v>
      </c>
      <c r="AJ114" s="3">
        <f>SUM(OSRRefD93_5x_0_16)</f>
        <v>963</v>
      </c>
      <c r="AK114" s="1">
        <f t="shared" si="546"/>
        <v>2.0003739016638624E-2</v>
      </c>
      <c r="AL114" s="3">
        <f>SUM(OSRRefD93_5x_0_17)</f>
        <v>898</v>
      </c>
      <c r="AM114" s="1">
        <f t="shared" si="547"/>
        <v>1.9994211030213968E-2</v>
      </c>
      <c r="AN114" s="3">
        <f>SUM(OSRRefD93_5x_0_18)</f>
        <v>1095</v>
      </c>
      <c r="AO114" s="1">
        <f t="shared" si="548"/>
        <v>2.0009136592051165E-2</v>
      </c>
      <c r="AP114" s="3">
        <f>SUM(OSRRefD93_5x_0_19)</f>
        <v>985</v>
      </c>
      <c r="AQ114" s="1">
        <f t="shared" si="549"/>
        <v>2.0010157440325037E-2</v>
      </c>
      <c r="AR114" s="3">
        <f>SUM(OSRRefD93_5x_0_20)</f>
        <v>1017</v>
      </c>
      <c r="AS114" s="1">
        <f t="shared" si="550"/>
        <v>1.9997247183278603E-2</v>
      </c>
      <c r="AT114" s="3">
        <f>SUM(OSRRefD93_5x_0_21)</f>
        <v>964</v>
      </c>
      <c r="AU114" s="1">
        <f t="shared" si="551"/>
        <v>2.0009132799202956E-2</v>
      </c>
      <c r="AV114" s="3">
        <f>SUM(OSRRefD93_5x_0_22)</f>
        <v>824</v>
      </c>
      <c r="AW114" s="1">
        <f t="shared" si="552"/>
        <v>1.9994661619470531E-2</v>
      </c>
      <c r="AX114" s="3">
        <f>SUM(OSRRefD93_5x_0_23)</f>
        <v>1029</v>
      </c>
      <c r="AY114" s="1">
        <f t="shared" si="553"/>
        <v>1.9995336364696279E-2</v>
      </c>
      <c r="AZ114" s="3">
        <f>SUM(OSRRefD93_5x_0_24)</f>
        <v>832</v>
      </c>
      <c r="BA114" s="1">
        <f t="shared" si="554"/>
        <v>2.0002404135112395E-2</v>
      </c>
      <c r="BB114" s="3">
        <f>SUM(OSRRefD93_5x_0_25)</f>
        <v>868</v>
      </c>
      <c r="BC114" s="1">
        <f t="shared" si="555"/>
        <v>1.999585339445737E-2</v>
      </c>
      <c r="BD114" s="3">
        <f>SUM(OSRRefD93_5x_0_26)</f>
        <v>798</v>
      </c>
      <c r="BE114" s="1">
        <f t="shared" si="556"/>
        <v>1.9996491843536222E-2</v>
      </c>
      <c r="BF114" s="3">
        <f>SUM(OSRRefD93_5x_0_27)</f>
        <v>779</v>
      </c>
      <c r="BG114" s="1">
        <f t="shared" si="557"/>
        <v>1.9999486534363689E-2</v>
      </c>
      <c r="BH114" s="3">
        <f>SUM(OSRRefD93_5x_0_28)</f>
        <v>754</v>
      </c>
      <c r="BI114" s="1">
        <f t="shared" si="558"/>
        <v>1.9993635977938056E-2</v>
      </c>
      <c r="BJ114" s="3">
        <f>SUM(OSRRefD93_5x_0_29)</f>
        <v>774</v>
      </c>
      <c r="BK114" s="1">
        <f t="shared" si="559"/>
        <v>2.0007754943776657E-2</v>
      </c>
      <c r="BL114" s="3">
        <f>SUM(OSRRefD93_5x_0_30)</f>
        <v>855</v>
      </c>
      <c r="BM114" s="1">
        <f t="shared" si="560"/>
        <v>1.9993919977550685E-2</v>
      </c>
      <c r="BN114" s="3">
        <f>SUM(OSRRefD93_5x_0_31)</f>
        <v>801</v>
      </c>
      <c r="BO114" s="1">
        <f t="shared" si="561"/>
        <v>1.9990516359280241E-2</v>
      </c>
      <c r="BP114" s="3">
        <f>SUM(OSRRefD93_5x_0_32)</f>
        <v>709</v>
      </c>
      <c r="BQ114" s="1">
        <f t="shared" si="562"/>
        <v>1.9997743555029052E-2</v>
      </c>
      <c r="BR114" s="3">
        <f>SUM(OSRRefD93_5x_0_33)</f>
        <v>664</v>
      </c>
      <c r="BS114" s="1">
        <f t="shared" si="563"/>
        <v>2.0012658609361342E-2</v>
      </c>
      <c r="BT114" s="3">
        <f>SUM(OSRRefD93_5x_0_34)</f>
        <v>853</v>
      </c>
      <c r="BU114" s="1">
        <f t="shared" si="564"/>
        <v>1.9992968475331066E-2</v>
      </c>
      <c r="BV114" s="3">
        <f>SUM(OSRRefD93_5x_0_35)</f>
        <v>685</v>
      </c>
      <c r="BW114" s="1">
        <f t="shared" si="565"/>
        <v>2.0005841121495328E-2</v>
      </c>
      <c r="BX114" s="3">
        <f>SUM(OSRRefD93_5x_0_36)</f>
        <v>746</v>
      </c>
      <c r="BY114" s="1">
        <f t="shared" si="566"/>
        <v>2.0011803208326628E-2</v>
      </c>
      <c r="BZ114" s="3">
        <f>SUM(OSRRefD93_5x_0_37)</f>
        <v>657</v>
      </c>
      <c r="CA114" s="1">
        <f t="shared" si="567"/>
        <v>2.0008527226215128E-2</v>
      </c>
      <c r="CB114" s="3">
        <f>SUM(OSRRefD93_5x_0_38)</f>
        <v>744</v>
      </c>
      <c r="CC114" s="1">
        <f t="shared" si="568"/>
        <v>1.9996774713755845E-2</v>
      </c>
      <c r="CD114" s="3">
        <f>SUM(OSRRefD93_5x_0_39)</f>
        <v>747</v>
      </c>
      <c r="CE114" s="1">
        <f t="shared" si="569"/>
        <v>0.02</v>
      </c>
      <c r="CF114" s="3">
        <f>SUM(OSRRefD93_5x_0_40)</f>
        <v>764</v>
      </c>
      <c r="CG114" s="1">
        <f t="shared" si="570"/>
        <v>1.998953427524856E-2</v>
      </c>
      <c r="CH114" s="3">
        <f>SUM(OSRRefD93_5x_0_41)</f>
        <v>783</v>
      </c>
      <c r="CI114" s="1">
        <f t="shared" si="571"/>
        <v>1.99989783408255E-2</v>
      </c>
      <c r="CJ114" s="3">
        <f>SUM(OSRRefD93_5x_0_42)</f>
        <v>833</v>
      </c>
      <c r="CK114" s="1">
        <f t="shared" si="572"/>
        <v>0.02</v>
      </c>
      <c r="CL114" s="3">
        <f>SUM(OSRRefD93_5x_0_43)</f>
        <v>902</v>
      </c>
      <c r="CM114" s="1">
        <f t="shared" si="573"/>
        <v>2.000931697686284E-2</v>
      </c>
      <c r="CN114" s="3">
        <f>SUM(OSRRefD93_5x_0_44)</f>
        <v>825</v>
      </c>
      <c r="CO114" s="1">
        <f t="shared" si="574"/>
        <v>2.0009216366326309E-2</v>
      </c>
      <c r="CP114" s="3">
        <f>SUM(OSRRefD93_5x_0_45)</f>
        <v>792</v>
      </c>
      <c r="CQ114" s="1">
        <f t="shared" si="575"/>
        <v>1.9998484963260361E-2</v>
      </c>
      <c r="CR114" s="3">
        <f>SUM(OSRRefD93_5x_0_46)</f>
        <v>658</v>
      </c>
      <c r="CS114" s="1">
        <f t="shared" si="576"/>
        <v>1.9988456514474923E-2</v>
      </c>
      <c r="CT114" s="3">
        <f>SUM(OSRRefD93_5x_0_47)</f>
        <v>764</v>
      </c>
      <c r="CU114" s="1">
        <f t="shared" si="577"/>
        <v>1.9992149679445244E-2</v>
      </c>
      <c r="CV114" s="3">
        <f>SUM(OSRRefD93_5x_0_48)</f>
        <v>780</v>
      </c>
      <c r="CW114" s="1">
        <f t="shared" si="578"/>
        <v>1.9995898277276457E-2</v>
      </c>
      <c r="CX114" s="3">
        <f>SUM(OSRRefD93_5x_0_49)</f>
        <v>902</v>
      </c>
      <c r="CY114" s="1">
        <f t="shared" si="579"/>
        <v>2.0006654097815237E-2</v>
      </c>
      <c r="CZ114" s="3">
        <f>SUM(OSRRefD93_5x_0_50)</f>
        <v>918</v>
      </c>
      <c r="DA114" s="1">
        <f t="shared" si="580"/>
        <v>1.9989983232802735E-2</v>
      </c>
      <c r="DB114" s="3">
        <f>SUM(OSRRefD93_5x_0_51)</f>
        <v>934</v>
      </c>
      <c r="DC114" s="1">
        <f t="shared" si="581"/>
        <v>1.9991438356164383E-2</v>
      </c>
      <c r="DD114" s="3">
        <f>SUM(OSRRefF93_5x_0)</f>
        <v>44727</v>
      </c>
      <c r="DE114" s="1">
        <f t="shared" si="582"/>
        <v>2.0000527659414628E-2</v>
      </c>
      <c r="DF114" s="28"/>
    </row>
    <row r="115" spans="2:110" outlineLevel="1" x14ac:dyDescent="0.25">
      <c r="D115" s="5"/>
      <c r="E115" s="2"/>
      <c r="F115" s="5"/>
      <c r="G115" s="2"/>
      <c r="H115" s="5"/>
      <c r="I115" s="2"/>
      <c r="J115" s="5"/>
      <c r="K115" s="2"/>
      <c r="L115" s="5"/>
      <c r="M115" s="2"/>
      <c r="N115" s="5"/>
      <c r="O115" s="2"/>
      <c r="P115" s="5"/>
      <c r="Q115" s="2"/>
      <c r="R115" s="5"/>
      <c r="S115" s="2"/>
      <c r="T115" s="5"/>
      <c r="U115" s="2"/>
      <c r="V115" s="5"/>
      <c r="W115" s="2"/>
      <c r="X115" s="5"/>
      <c r="Y115" s="2"/>
      <c r="Z115" s="5"/>
      <c r="AA115" s="2"/>
      <c r="AB115" s="5"/>
      <c r="AC115" s="2"/>
      <c r="AD115" s="5"/>
      <c r="AE115" s="2"/>
      <c r="AF115" s="5"/>
      <c r="AG115" s="2"/>
      <c r="AH115" s="5"/>
      <c r="AI115" s="2"/>
      <c r="AJ115" s="5"/>
      <c r="AK115" s="2"/>
      <c r="AL115" s="5"/>
      <c r="AM115" s="2"/>
      <c r="AN115" s="5"/>
      <c r="AO115" s="2"/>
      <c r="AP115" s="5"/>
      <c r="AQ115" s="2"/>
      <c r="AR115" s="5"/>
      <c r="AS115" s="2"/>
      <c r="AT115" s="5"/>
      <c r="AU115" s="2"/>
      <c r="AV115" s="5"/>
      <c r="AW115" s="2"/>
      <c r="AX115" s="5"/>
      <c r="AY115" s="2"/>
      <c r="AZ115" s="5"/>
      <c r="BA115" s="2"/>
      <c r="BB115" s="5"/>
      <c r="BC115" s="2"/>
      <c r="BD115" s="5"/>
      <c r="BE115" s="2"/>
      <c r="BF115" s="5"/>
      <c r="BG115" s="2"/>
      <c r="BH115" s="5"/>
      <c r="BI115" s="2"/>
      <c r="BJ115" s="5"/>
      <c r="BK115" s="2"/>
      <c r="BL115" s="5"/>
      <c r="BM115" s="2"/>
      <c r="BN115" s="5"/>
      <c r="BO115" s="2"/>
      <c r="BP115" s="5"/>
      <c r="BQ115" s="2"/>
      <c r="BR115" s="5"/>
      <c r="BS115" s="2"/>
      <c r="BT115" s="5"/>
      <c r="BU115" s="2"/>
      <c r="BV115" s="5"/>
      <c r="BW115" s="2"/>
      <c r="BX115" s="5"/>
      <c r="BY115" s="2"/>
      <c r="BZ115" s="5"/>
      <c r="CA115" s="2"/>
      <c r="CB115" s="5"/>
      <c r="CC115" s="2"/>
      <c r="CD115" s="5"/>
      <c r="CE115" s="2"/>
      <c r="CF115" s="5"/>
      <c r="CG115" s="2"/>
      <c r="CH115" s="5"/>
      <c r="CI115" s="2"/>
      <c r="CJ115" s="5"/>
      <c r="CK115" s="2"/>
      <c r="CL115" s="5"/>
      <c r="CM115" s="2"/>
      <c r="CN115" s="5"/>
      <c r="CO115" s="2"/>
      <c r="CP115" s="5"/>
      <c r="CQ115" s="2"/>
      <c r="CR115" s="5"/>
      <c r="CS115" s="2"/>
      <c r="CT115" s="5"/>
      <c r="CU115" s="2"/>
      <c r="CV115" s="5"/>
      <c r="CW115" s="2"/>
      <c r="CX115" s="5"/>
      <c r="CY115" s="2"/>
      <c r="CZ115" s="5"/>
      <c r="DA115" s="2"/>
      <c r="DB115" s="5"/>
      <c r="DC115" s="2"/>
      <c r="DD115" s="5"/>
      <c r="DE115" s="2"/>
      <c r="DF115" s="28"/>
    </row>
    <row r="116" spans="2:110" outlineLevel="1" x14ac:dyDescent="0.25">
      <c r="B116">
        <v>53501</v>
      </c>
      <c r="C116" t="s">
        <v>64</v>
      </c>
      <c r="D116" s="5">
        <f>IFERROR(1435,0)</f>
        <v>1435</v>
      </c>
      <c r="E116" s="4">
        <f t="shared" ref="E116:E117" si="583">IFERROR(D116/D$11,0)</f>
        <v>3.800619752628652E-2</v>
      </c>
      <c r="F116" s="5">
        <f>IFERROR(1438,0)</f>
        <v>1438</v>
      </c>
      <c r="G116" s="4">
        <f t="shared" ref="G116:G117" si="584">IFERROR(F116/F$11,0)</f>
        <v>3.7995085475731237E-2</v>
      </c>
      <c r="H116" s="5">
        <f>IFERROR(1242,0)</f>
        <v>1242</v>
      </c>
      <c r="I116" s="4">
        <f t="shared" ref="I116:I117" si="585">IFERROR(H116/H$11,0)</f>
        <v>3.8008385102671606E-2</v>
      </c>
      <c r="J116" s="5">
        <f>IFERROR(1451,0)</f>
        <v>1451</v>
      </c>
      <c r="K116" s="4">
        <f t="shared" ref="K116:K117" si="586">IFERROR(J116/J$11,0)</f>
        <v>3.799125494200508E-2</v>
      </c>
      <c r="L116" s="5">
        <f>IFERROR(1538,0)</f>
        <v>1538</v>
      </c>
      <c r="M116" s="4">
        <f t="shared" ref="M116:M117" si="587">IFERROR(L116/L$11,0)</f>
        <v>3.8010973258860166E-2</v>
      </c>
      <c r="N116" s="5">
        <f>IFERROR(1526,0)</f>
        <v>1526</v>
      </c>
      <c r="O116" s="4">
        <f t="shared" ref="O116:O117" si="588">IFERROR(N116/N$11,0)</f>
        <v>3.799990039344589E-2</v>
      </c>
      <c r="P116" s="5">
        <f>IFERROR(2108,0)</f>
        <v>2108</v>
      </c>
      <c r="Q116" s="4">
        <f t="shared" ref="Q116:Q117" si="589">IFERROR(P116/P$11,0)</f>
        <v>3.7999098693104999E-2</v>
      </c>
      <c r="R116" s="5">
        <f>IFERROR(2088,0)</f>
        <v>2088</v>
      </c>
      <c r="S116" s="4">
        <f t="shared" ref="S116:S117" si="590">IFERROR(R116/R$11,0)</f>
        <v>3.8001638001638E-2</v>
      </c>
      <c r="T116" s="5">
        <f>IFERROR(2054,0)</f>
        <v>2054</v>
      </c>
      <c r="U116" s="4">
        <f t="shared" ref="U116:U117" si="591">IFERROR(T116/T$11,0)</f>
        <v>3.7998335029136993E-2</v>
      </c>
      <c r="V116" s="5">
        <f>IFERROR(2122,0)</f>
        <v>2122</v>
      </c>
      <c r="W116" s="4">
        <f t="shared" ref="W116:W117" si="592">IFERROR(V116/V$11,0)</f>
        <v>3.7998030262333241E-2</v>
      </c>
      <c r="X116" s="5">
        <f>IFERROR(2018,0)</f>
        <v>2018</v>
      </c>
      <c r="Y116" s="4">
        <f t="shared" ref="Y116:Y117" si="593">IFERROR(X116/X$11,0)</f>
        <v>3.800233512862039E-2</v>
      </c>
      <c r="Z116" s="5">
        <f>IFERROR(1921,0)</f>
        <v>1921</v>
      </c>
      <c r="AA116" s="4">
        <f t="shared" ref="AA116:AA117" si="594">IFERROR(Z116/Z$11,0)</f>
        <v>3.8001978239366963E-2</v>
      </c>
      <c r="AB116" s="5">
        <f>IFERROR(2007,0)</f>
        <v>2007</v>
      </c>
      <c r="AC116" s="4">
        <f t="shared" ref="AC116:AC117" si="595">IFERROR(AB116/AB$11,0)</f>
        <v>3.8002726653033399E-2</v>
      </c>
      <c r="AD116" s="5">
        <f>IFERROR(1825,0)</f>
        <v>1825</v>
      </c>
      <c r="AE116" s="4">
        <f t="shared" ref="AE116:AE117" si="596">IFERROR(AD116/AD$11,0)</f>
        <v>3.8000249864656645E-2</v>
      </c>
      <c r="AF116" s="5">
        <f>IFERROR(1876,0)</f>
        <v>1876</v>
      </c>
      <c r="AG116" s="4">
        <f t="shared" ref="AG116:AG117" si="597">IFERROR(AF116/AF$11,0)</f>
        <v>3.7992628296002265E-2</v>
      </c>
      <c r="AH116" s="5">
        <f>IFERROR(1527,0)</f>
        <v>1527</v>
      </c>
      <c r="AI116" s="4">
        <f t="shared" ref="AI116:AI117" si="598">IFERROR(AH116/AH$11,0)</f>
        <v>3.7991690095290222E-2</v>
      </c>
      <c r="AJ116" s="5">
        <f>IFERROR(1829,0)</f>
        <v>1829</v>
      </c>
      <c r="AK116" s="4">
        <f t="shared" ref="AK116:AK117" si="599">IFERROR(AJ116/AJ$11,0)</f>
        <v>3.7992563511352072E-2</v>
      </c>
      <c r="AL116" s="5">
        <f>IFERROR(1707,0)</f>
        <v>1707</v>
      </c>
      <c r="AM116" s="4">
        <f t="shared" ref="AM116:AM117" si="600">IFERROR(AL116/AL$11,0)</f>
        <v>3.8006813172132788E-2</v>
      </c>
      <c r="AN116" s="5">
        <f>IFERROR(2080,0)</f>
        <v>2080</v>
      </c>
      <c r="AO116" s="4">
        <f t="shared" ref="AO116:AO117" si="601">IFERROR(AN116/AN$11,0)</f>
        <v>3.8008222932846052E-2</v>
      </c>
      <c r="AP116" s="5">
        <f>IFERROR(1871,0)</f>
        <v>1871</v>
      </c>
      <c r="AQ116" s="4">
        <f t="shared" ref="AQ116:AQ117" si="602">IFERROR(AP116/AP$11,0)</f>
        <v>3.8009141696292534E-2</v>
      </c>
      <c r="AR116" s="5">
        <f>IFERROR(1933,0)</f>
        <v>1933</v>
      </c>
      <c r="AS116" s="4">
        <f t="shared" ref="AS116:AS117" si="603">IFERROR(AR116/AR$11,0)</f>
        <v>3.8008533731836325E-2</v>
      </c>
      <c r="AT116" s="5">
        <f>IFERROR(1831,0)</f>
        <v>1831</v>
      </c>
      <c r="AU116" s="4">
        <f t="shared" ref="AU116:AU117" si="604">IFERROR(AT116/AT$11,0)</f>
        <v>3.8004898501390674E-2</v>
      </c>
      <c r="AV116" s="5">
        <f>IFERROR(1566,0)</f>
        <v>1566</v>
      </c>
      <c r="AW116" s="4">
        <f t="shared" ref="AW116:AW117" si="605">IFERROR(AV116/AV$11,0)</f>
        <v>3.7999563223411227E-2</v>
      </c>
      <c r="AX116" s="5">
        <f>IFERROR(1956,0)</f>
        <v>1956</v>
      </c>
      <c r="AY116" s="4">
        <f t="shared" ref="AY116:AY117" si="606">IFERROR(AX116/AX$11,0)</f>
        <v>3.8008627725311883E-2</v>
      </c>
      <c r="AZ116" s="5">
        <f>IFERROR(1581,0)</f>
        <v>1581</v>
      </c>
      <c r="BA116" s="4">
        <f t="shared" ref="BA116:BA117" si="607">IFERROR(AZ116/AZ$11,0)</f>
        <v>3.8009376126938332E-2</v>
      </c>
      <c r="BB116" s="5">
        <f>IFERROR(1650,0)</f>
        <v>1650</v>
      </c>
      <c r="BC116" s="4">
        <f t="shared" ref="BC116:BC117" si="608">IFERROR(BB116/BB$11,0)</f>
        <v>3.8010550807436247E-2</v>
      </c>
      <c r="BD116" s="5">
        <f>IFERROR(1516,0)</f>
        <v>1516</v>
      </c>
      <c r="BE116" s="4">
        <f t="shared" ref="BE116:BE117" si="609">IFERROR(BD116/BD$11,0)</f>
        <v>3.7988322850627712E-2</v>
      </c>
      <c r="BF116" s="5">
        <f>IFERROR(1480,0)</f>
        <v>1480</v>
      </c>
      <c r="BG116" s="4">
        <f t="shared" ref="BG116:BG117" si="610">IFERROR(BF116/BF$11,0)</f>
        <v>3.7996457087109442E-2</v>
      </c>
      <c r="BH116" s="5">
        <f>IFERROR(1433,0)</f>
        <v>1433</v>
      </c>
      <c r="BI116" s="4">
        <f t="shared" ref="BI116:BI117" si="611">IFERROR(BH116/BH$11,0)</f>
        <v>3.7998515061518877E-2</v>
      </c>
      <c r="BJ116" s="5">
        <f>IFERROR(1470,0)</f>
        <v>1470</v>
      </c>
      <c r="BK116" s="4">
        <f t="shared" ref="BK116:BK117" si="612">IFERROR(BJ116/BJ$11,0)</f>
        <v>3.7999224505622334E-2</v>
      </c>
      <c r="BL116" s="5">
        <f>IFERROR(1625,0)</f>
        <v>1625</v>
      </c>
      <c r="BM116" s="4">
        <f t="shared" ref="BM116:BM117" si="613">IFERROR(BL116/BL$11,0)</f>
        <v>3.8000140308210369E-2</v>
      </c>
      <c r="BN116" s="5">
        <f>IFERROR(1523,0)</f>
        <v>1523</v>
      </c>
      <c r="BO116" s="4">
        <f t="shared" ref="BO116:BO117" si="614">IFERROR(BN116/BN$11,0)</f>
        <v>3.800943372682123E-2</v>
      </c>
      <c r="BP116" s="5">
        <f>IFERROR(1347,0)</f>
        <v>1347</v>
      </c>
      <c r="BQ116" s="4">
        <f t="shared" ref="BQ116:BQ117" si="615">IFERROR(BP116/BP$11,0)</f>
        <v>3.799289219834151E-2</v>
      </c>
      <c r="BR116" s="5">
        <f>IFERROR(1261,0)</f>
        <v>1261</v>
      </c>
      <c r="BS116" s="4">
        <f t="shared" ref="BS116:BS117" si="616">IFERROR(BR116/BR$11,0)</f>
        <v>3.8005967630127493E-2</v>
      </c>
      <c r="BT116" s="5">
        <f>IFERROR(1621,0)</f>
        <v>1621</v>
      </c>
      <c r="BU116" s="4">
        <f t="shared" ref="BU116:BU117" si="617">IFERROR(BT116/BT$11,0)</f>
        <v>3.7993671627797959E-2</v>
      </c>
      <c r="BV116" s="5">
        <f>IFERROR(1301,0)</f>
        <v>1301</v>
      </c>
      <c r="BW116" s="4">
        <f t="shared" ref="BW116:BW117" si="618">IFERROR(BV116/BV$11,0)</f>
        <v>3.7996495327102801E-2</v>
      </c>
      <c r="BX116" s="5">
        <f>IFERROR(1417,0)</f>
        <v>1417</v>
      </c>
      <c r="BY116" s="4">
        <f t="shared" ref="BY116:BY117" si="619">IFERROR(BX116/BX$11,0)</f>
        <v>3.8011695906432746E-2</v>
      </c>
      <c r="BZ116" s="5">
        <f>IFERROR(1248,0)</f>
        <v>1248</v>
      </c>
      <c r="CA116" s="4">
        <f t="shared" ref="CA116:CA117" si="620">IFERROR(BZ116/BZ$11,0)</f>
        <v>3.8007065416006819E-2</v>
      </c>
      <c r="CB116" s="5">
        <f>IFERROR(1414,0)</f>
        <v>1414</v>
      </c>
      <c r="CC116" s="4">
        <f t="shared" ref="CC116:CC117" si="621">IFERROR(CB116/CB$11,0)</f>
        <v>3.8004622910283288E-2</v>
      </c>
      <c r="CD116" s="5">
        <f>IFERROR(1419,0)</f>
        <v>1419</v>
      </c>
      <c r="CE116" s="4">
        <f t="shared" ref="CE116:CE117" si="622">IFERROR(CD116/CD$11,0)</f>
        <v>3.799196787148594E-2</v>
      </c>
      <c r="CF116" s="5">
        <f>IFERROR(1452,0)</f>
        <v>1452</v>
      </c>
      <c r="CG116" s="4">
        <f t="shared" ref="CG116:CG117" si="623">IFERROR(CF116/CF$11,0)</f>
        <v>3.7990580847723707E-2</v>
      </c>
      <c r="CH116" s="5">
        <f>IFERROR(1488,0)</f>
        <v>1488</v>
      </c>
      <c r="CI116" s="4">
        <f t="shared" ref="CI116:CI117" si="624">IFERROR(CH116/CH$11,0)</f>
        <v>3.8005721291377199E-2</v>
      </c>
      <c r="CJ116" s="5">
        <f>IFERROR(1583,0)</f>
        <v>1583</v>
      </c>
      <c r="CK116" s="4">
        <f t="shared" ref="CK116:CK117" si="625">IFERROR(CJ116/CJ$11,0)</f>
        <v>3.800720288115246E-2</v>
      </c>
      <c r="CL116" s="5">
        <f>IFERROR(1713,0)</f>
        <v>1713</v>
      </c>
      <c r="CM116" s="4">
        <f t="shared" ref="CM116:CM117" si="626">IFERROR(CL116/CL$11,0)</f>
        <v>3.7999955633443508E-2</v>
      </c>
      <c r="CN116" s="5">
        <f>IFERROR(1567,0)</f>
        <v>1567</v>
      </c>
      <c r="CO116" s="4">
        <f t="shared" ref="CO116:CO117" si="627">IFERROR(CN116/CN$11,0)</f>
        <v>3.8005384298222214E-2</v>
      </c>
      <c r="CP116" s="5">
        <f>IFERROR(1505,0)</f>
        <v>1505</v>
      </c>
      <c r="CQ116" s="4">
        <f t="shared" ref="CQ116:CQ117" si="628">IFERROR(CP116/CP$11,0)</f>
        <v>3.8002171552660155E-2</v>
      </c>
      <c r="CR116" s="5">
        <f>IFERROR(1251,0)</f>
        <v>1251</v>
      </c>
      <c r="CS116" s="4">
        <f t="shared" ref="CS116:CS117" si="629">IFERROR(CR116/CR$11,0)</f>
        <v>3.800236945229199E-2</v>
      </c>
      <c r="CT116" s="5">
        <f>IFERROR(1452,0)</f>
        <v>1452</v>
      </c>
      <c r="CU116" s="4">
        <f t="shared" ref="CU116:CU117" si="630">IFERROR(CT116/CT$11,0)</f>
        <v>3.7995551485018972E-2</v>
      </c>
      <c r="CV116" s="5">
        <f>IFERROR(1482,0)</f>
        <v>1482</v>
      </c>
      <c r="CW116" s="4">
        <f t="shared" ref="CW116:CW117" si="631">IFERROR(CV116/CV$11,0)</f>
        <v>3.7992206726825267E-2</v>
      </c>
      <c r="CX116" s="5">
        <f>IFERROR(1713,0)</f>
        <v>1713</v>
      </c>
      <c r="CY116" s="4">
        <f t="shared" ref="CY116:CY117" si="632">IFERROR(CX116/CX$11,0)</f>
        <v>3.7994898525008321E-2</v>
      </c>
      <c r="CZ116" s="5">
        <f>IFERROR(1745,0)</f>
        <v>1745</v>
      </c>
      <c r="DA116" s="4">
        <f t="shared" ref="DA116:DA117" si="633">IFERROR(CZ116/CZ$11,0)</f>
        <v>3.7998388607016091E-2</v>
      </c>
      <c r="DB116" s="5">
        <f>IFERROR(1775,0)</f>
        <v>1775</v>
      </c>
      <c r="DC116" s="4">
        <f t="shared" ref="DC116:DC117" si="634">IFERROR(DB116/DB$11,0)</f>
        <v>3.7992294520547948E-2</v>
      </c>
      <c r="DD116" s="5">
        <f>SUM(OSRRefD93_6_0x_0)</f>
        <v>84981</v>
      </c>
      <c r="DE116" s="4">
        <f t="shared" ref="DE116:DE117" si="635">IFERROR(DD116/DD$11,0)</f>
        <v>3.8000868402189157E-2</v>
      </c>
      <c r="DF116" s="28"/>
    </row>
    <row r="117" spans="2:110" x14ac:dyDescent="0.25">
      <c r="C117" s="31" t="str">
        <f>"TOTAL " &amp; "Supplies"</f>
        <v>TOTAL Supplies</v>
      </c>
      <c r="D117" s="3">
        <f>SUM(OSRRefD93_6x_0_0)</f>
        <v>1435</v>
      </c>
      <c r="E117" s="1">
        <f t="shared" si="583"/>
        <v>3.800619752628652E-2</v>
      </c>
      <c r="F117" s="3">
        <f>SUM(OSRRefD93_6x_0_1)</f>
        <v>1438</v>
      </c>
      <c r="G117" s="1">
        <f t="shared" si="584"/>
        <v>3.7995085475731237E-2</v>
      </c>
      <c r="H117" s="3">
        <f>SUM(OSRRefD93_6x_0_2)</f>
        <v>1242</v>
      </c>
      <c r="I117" s="1">
        <f t="shared" si="585"/>
        <v>3.8008385102671606E-2</v>
      </c>
      <c r="J117" s="3">
        <f>SUM(OSRRefD93_6x_0_3)</f>
        <v>1451</v>
      </c>
      <c r="K117" s="1">
        <f t="shared" si="586"/>
        <v>3.799125494200508E-2</v>
      </c>
      <c r="L117" s="3">
        <f>SUM(OSRRefD93_6x_0_4)</f>
        <v>1538</v>
      </c>
      <c r="M117" s="1">
        <f t="shared" si="587"/>
        <v>3.8010973258860166E-2</v>
      </c>
      <c r="N117" s="3">
        <f>SUM(OSRRefD93_6x_0_5)</f>
        <v>1526</v>
      </c>
      <c r="O117" s="1">
        <f t="shared" si="588"/>
        <v>3.799990039344589E-2</v>
      </c>
      <c r="P117" s="3">
        <f>SUM(OSRRefD93_6x_0_6)</f>
        <v>2108</v>
      </c>
      <c r="Q117" s="1">
        <f t="shared" si="589"/>
        <v>3.7999098693104999E-2</v>
      </c>
      <c r="R117" s="3">
        <f>SUM(OSRRefD93_6x_0_7)</f>
        <v>2088</v>
      </c>
      <c r="S117" s="1">
        <f t="shared" si="590"/>
        <v>3.8001638001638E-2</v>
      </c>
      <c r="T117" s="3">
        <f>SUM(OSRRefD93_6x_0_8)</f>
        <v>2054</v>
      </c>
      <c r="U117" s="1">
        <f t="shared" si="591"/>
        <v>3.7998335029136993E-2</v>
      </c>
      <c r="V117" s="3">
        <f>SUM(OSRRefD93_6x_0_9)</f>
        <v>2122</v>
      </c>
      <c r="W117" s="1">
        <f t="shared" si="592"/>
        <v>3.7998030262333241E-2</v>
      </c>
      <c r="X117" s="3">
        <f>SUM(OSRRefD93_6x_0_10)</f>
        <v>2018</v>
      </c>
      <c r="Y117" s="1">
        <f t="shared" si="593"/>
        <v>3.800233512862039E-2</v>
      </c>
      <c r="Z117" s="3">
        <f>SUM(OSRRefD93_6x_0_11)</f>
        <v>1921</v>
      </c>
      <c r="AA117" s="1">
        <f t="shared" si="594"/>
        <v>3.8001978239366963E-2</v>
      </c>
      <c r="AB117" s="3">
        <f>SUM(OSRRefD93_6x_0_12)</f>
        <v>2007</v>
      </c>
      <c r="AC117" s="1">
        <f t="shared" si="595"/>
        <v>3.8002726653033399E-2</v>
      </c>
      <c r="AD117" s="3">
        <f>SUM(OSRRefD93_6x_0_13)</f>
        <v>1825</v>
      </c>
      <c r="AE117" s="1">
        <f t="shared" si="596"/>
        <v>3.8000249864656645E-2</v>
      </c>
      <c r="AF117" s="3">
        <f>SUM(OSRRefD93_6x_0_14)</f>
        <v>1876</v>
      </c>
      <c r="AG117" s="1">
        <f t="shared" si="597"/>
        <v>3.7992628296002265E-2</v>
      </c>
      <c r="AH117" s="3">
        <f>SUM(OSRRefD93_6x_0_15)</f>
        <v>1527</v>
      </c>
      <c r="AI117" s="1">
        <f t="shared" si="598"/>
        <v>3.7991690095290222E-2</v>
      </c>
      <c r="AJ117" s="3">
        <f>SUM(OSRRefD93_6x_0_16)</f>
        <v>1829</v>
      </c>
      <c r="AK117" s="1">
        <f t="shared" si="599"/>
        <v>3.7992563511352072E-2</v>
      </c>
      <c r="AL117" s="3">
        <f>SUM(OSRRefD93_6x_0_17)</f>
        <v>1707</v>
      </c>
      <c r="AM117" s="1">
        <f t="shared" si="600"/>
        <v>3.8006813172132788E-2</v>
      </c>
      <c r="AN117" s="3">
        <f>SUM(OSRRefD93_6x_0_18)</f>
        <v>2080</v>
      </c>
      <c r="AO117" s="1">
        <f t="shared" si="601"/>
        <v>3.8008222932846052E-2</v>
      </c>
      <c r="AP117" s="3">
        <f>SUM(OSRRefD93_6x_0_19)</f>
        <v>1871</v>
      </c>
      <c r="AQ117" s="1">
        <f t="shared" si="602"/>
        <v>3.8009141696292534E-2</v>
      </c>
      <c r="AR117" s="3">
        <f>SUM(OSRRefD93_6x_0_20)</f>
        <v>1933</v>
      </c>
      <c r="AS117" s="1">
        <f t="shared" si="603"/>
        <v>3.8008533731836325E-2</v>
      </c>
      <c r="AT117" s="3">
        <f>SUM(OSRRefD93_6x_0_21)</f>
        <v>1831</v>
      </c>
      <c r="AU117" s="1">
        <f t="shared" si="604"/>
        <v>3.8004898501390674E-2</v>
      </c>
      <c r="AV117" s="3">
        <f>SUM(OSRRefD93_6x_0_22)</f>
        <v>1566</v>
      </c>
      <c r="AW117" s="1">
        <f t="shared" si="605"/>
        <v>3.7999563223411227E-2</v>
      </c>
      <c r="AX117" s="3">
        <f>SUM(OSRRefD93_6x_0_23)</f>
        <v>1956</v>
      </c>
      <c r="AY117" s="1">
        <f t="shared" si="606"/>
        <v>3.8008627725311883E-2</v>
      </c>
      <c r="AZ117" s="3">
        <f>SUM(OSRRefD93_6x_0_24)</f>
        <v>1581</v>
      </c>
      <c r="BA117" s="1">
        <f t="shared" si="607"/>
        <v>3.8009376126938332E-2</v>
      </c>
      <c r="BB117" s="3">
        <f>SUM(OSRRefD93_6x_0_25)</f>
        <v>1650</v>
      </c>
      <c r="BC117" s="1">
        <f t="shared" si="608"/>
        <v>3.8010550807436247E-2</v>
      </c>
      <c r="BD117" s="3">
        <f>SUM(OSRRefD93_6x_0_26)</f>
        <v>1516</v>
      </c>
      <c r="BE117" s="1">
        <f t="shared" si="609"/>
        <v>3.7988322850627712E-2</v>
      </c>
      <c r="BF117" s="3">
        <f>SUM(OSRRefD93_6x_0_27)</f>
        <v>1480</v>
      </c>
      <c r="BG117" s="1">
        <f t="shared" si="610"/>
        <v>3.7996457087109442E-2</v>
      </c>
      <c r="BH117" s="3">
        <f>SUM(OSRRefD93_6x_0_28)</f>
        <v>1433</v>
      </c>
      <c r="BI117" s="1">
        <f t="shared" si="611"/>
        <v>3.7998515061518877E-2</v>
      </c>
      <c r="BJ117" s="3">
        <f>SUM(OSRRefD93_6x_0_29)</f>
        <v>1470</v>
      </c>
      <c r="BK117" s="1">
        <f t="shared" si="612"/>
        <v>3.7999224505622334E-2</v>
      </c>
      <c r="BL117" s="3">
        <f>SUM(OSRRefD93_6x_0_30)</f>
        <v>1625</v>
      </c>
      <c r="BM117" s="1">
        <f t="shared" si="613"/>
        <v>3.8000140308210369E-2</v>
      </c>
      <c r="BN117" s="3">
        <f>SUM(OSRRefD93_6x_0_31)</f>
        <v>1523</v>
      </c>
      <c r="BO117" s="1">
        <f t="shared" si="614"/>
        <v>3.800943372682123E-2</v>
      </c>
      <c r="BP117" s="3">
        <f>SUM(OSRRefD93_6x_0_32)</f>
        <v>1347</v>
      </c>
      <c r="BQ117" s="1">
        <f t="shared" si="615"/>
        <v>3.799289219834151E-2</v>
      </c>
      <c r="BR117" s="3">
        <f>SUM(OSRRefD93_6x_0_33)</f>
        <v>1261</v>
      </c>
      <c r="BS117" s="1">
        <f t="shared" si="616"/>
        <v>3.8005967630127493E-2</v>
      </c>
      <c r="BT117" s="3">
        <f>SUM(OSRRefD93_6x_0_34)</f>
        <v>1621</v>
      </c>
      <c r="BU117" s="1">
        <f t="shared" si="617"/>
        <v>3.7993671627797959E-2</v>
      </c>
      <c r="BV117" s="3">
        <f>SUM(OSRRefD93_6x_0_35)</f>
        <v>1301</v>
      </c>
      <c r="BW117" s="1">
        <f t="shared" si="618"/>
        <v>3.7996495327102801E-2</v>
      </c>
      <c r="BX117" s="3">
        <f>SUM(OSRRefD93_6x_0_36)</f>
        <v>1417</v>
      </c>
      <c r="BY117" s="1">
        <f t="shared" si="619"/>
        <v>3.8011695906432746E-2</v>
      </c>
      <c r="BZ117" s="3">
        <f>SUM(OSRRefD93_6x_0_37)</f>
        <v>1248</v>
      </c>
      <c r="CA117" s="1">
        <f t="shared" si="620"/>
        <v>3.8007065416006819E-2</v>
      </c>
      <c r="CB117" s="3">
        <f>SUM(OSRRefD93_6x_0_38)</f>
        <v>1414</v>
      </c>
      <c r="CC117" s="1">
        <f t="shared" si="621"/>
        <v>3.8004622910283288E-2</v>
      </c>
      <c r="CD117" s="3">
        <f>SUM(OSRRefD93_6x_0_39)</f>
        <v>1419</v>
      </c>
      <c r="CE117" s="1">
        <f t="shared" si="622"/>
        <v>3.799196787148594E-2</v>
      </c>
      <c r="CF117" s="3">
        <f>SUM(OSRRefD93_6x_0_40)</f>
        <v>1452</v>
      </c>
      <c r="CG117" s="1">
        <f t="shared" si="623"/>
        <v>3.7990580847723707E-2</v>
      </c>
      <c r="CH117" s="3">
        <f>SUM(OSRRefD93_6x_0_41)</f>
        <v>1488</v>
      </c>
      <c r="CI117" s="1">
        <f t="shared" si="624"/>
        <v>3.8005721291377199E-2</v>
      </c>
      <c r="CJ117" s="3">
        <f>SUM(OSRRefD93_6x_0_42)</f>
        <v>1583</v>
      </c>
      <c r="CK117" s="1">
        <f t="shared" si="625"/>
        <v>3.800720288115246E-2</v>
      </c>
      <c r="CL117" s="3">
        <f>SUM(OSRRefD93_6x_0_43)</f>
        <v>1713</v>
      </c>
      <c r="CM117" s="1">
        <f t="shared" si="626"/>
        <v>3.7999955633443508E-2</v>
      </c>
      <c r="CN117" s="3">
        <f>SUM(OSRRefD93_6x_0_44)</f>
        <v>1567</v>
      </c>
      <c r="CO117" s="1">
        <f t="shared" si="627"/>
        <v>3.8005384298222214E-2</v>
      </c>
      <c r="CP117" s="3">
        <f>SUM(OSRRefD93_6x_0_45)</f>
        <v>1505</v>
      </c>
      <c r="CQ117" s="1">
        <f t="shared" si="628"/>
        <v>3.8002171552660155E-2</v>
      </c>
      <c r="CR117" s="3">
        <f>SUM(OSRRefD93_6x_0_46)</f>
        <v>1251</v>
      </c>
      <c r="CS117" s="1">
        <f t="shared" si="629"/>
        <v>3.800236945229199E-2</v>
      </c>
      <c r="CT117" s="3">
        <f>SUM(OSRRefD93_6x_0_47)</f>
        <v>1452</v>
      </c>
      <c r="CU117" s="1">
        <f t="shared" si="630"/>
        <v>3.7995551485018972E-2</v>
      </c>
      <c r="CV117" s="3">
        <f>SUM(OSRRefD93_6x_0_48)</f>
        <v>1482</v>
      </c>
      <c r="CW117" s="1">
        <f t="shared" si="631"/>
        <v>3.7992206726825267E-2</v>
      </c>
      <c r="CX117" s="3">
        <f>SUM(OSRRefD93_6x_0_49)</f>
        <v>1713</v>
      </c>
      <c r="CY117" s="1">
        <f t="shared" si="632"/>
        <v>3.7994898525008321E-2</v>
      </c>
      <c r="CZ117" s="3">
        <f>SUM(OSRRefD93_6x_0_50)</f>
        <v>1745</v>
      </c>
      <c r="DA117" s="1">
        <f t="shared" si="633"/>
        <v>3.7998388607016091E-2</v>
      </c>
      <c r="DB117" s="3">
        <f>SUM(OSRRefD93_6x_0_51)</f>
        <v>1775</v>
      </c>
      <c r="DC117" s="1">
        <f t="shared" si="634"/>
        <v>3.7992294520547948E-2</v>
      </c>
      <c r="DD117" s="3">
        <f>SUM(OSRRefF93_6x_0)</f>
        <v>84981</v>
      </c>
      <c r="DE117" s="1">
        <f t="shared" si="635"/>
        <v>3.8000868402189157E-2</v>
      </c>
      <c r="DF117" s="28"/>
    </row>
    <row r="118" spans="2:110" outlineLevel="1" x14ac:dyDescent="0.25">
      <c r="D118" s="5"/>
      <c r="E118" s="2"/>
      <c r="F118" s="5"/>
      <c r="G118" s="2"/>
      <c r="H118" s="5"/>
      <c r="I118" s="2"/>
      <c r="J118" s="5"/>
      <c r="K118" s="2"/>
      <c r="L118" s="5"/>
      <c r="M118" s="2"/>
      <c r="N118" s="5"/>
      <c r="O118" s="2"/>
      <c r="P118" s="5"/>
      <c r="Q118" s="2"/>
      <c r="R118" s="5"/>
      <c r="S118" s="2"/>
      <c r="T118" s="5"/>
      <c r="U118" s="2"/>
      <c r="V118" s="5"/>
      <c r="W118" s="2"/>
      <c r="X118" s="5"/>
      <c r="Y118" s="2"/>
      <c r="Z118" s="5"/>
      <c r="AA118" s="2"/>
      <c r="AB118" s="5"/>
      <c r="AC118" s="2"/>
      <c r="AD118" s="5"/>
      <c r="AE118" s="2"/>
      <c r="AF118" s="5"/>
      <c r="AG118" s="2"/>
      <c r="AH118" s="5"/>
      <c r="AI118" s="2"/>
      <c r="AJ118" s="5"/>
      <c r="AK118" s="2"/>
      <c r="AL118" s="5"/>
      <c r="AM118" s="2"/>
      <c r="AN118" s="5"/>
      <c r="AO118" s="2"/>
      <c r="AP118" s="5"/>
      <c r="AQ118" s="2"/>
      <c r="AR118" s="5"/>
      <c r="AS118" s="2"/>
      <c r="AT118" s="5"/>
      <c r="AU118" s="2"/>
      <c r="AV118" s="5"/>
      <c r="AW118" s="2"/>
      <c r="AX118" s="5"/>
      <c r="AY118" s="2"/>
      <c r="AZ118" s="5"/>
      <c r="BA118" s="2"/>
      <c r="BB118" s="5"/>
      <c r="BC118" s="2"/>
      <c r="BD118" s="5"/>
      <c r="BE118" s="2"/>
      <c r="BF118" s="5"/>
      <c r="BG118" s="2"/>
      <c r="BH118" s="5"/>
      <c r="BI118" s="2"/>
      <c r="BJ118" s="5"/>
      <c r="BK118" s="2"/>
      <c r="BL118" s="5"/>
      <c r="BM118" s="2"/>
      <c r="BN118" s="5"/>
      <c r="BO118" s="2"/>
      <c r="BP118" s="5"/>
      <c r="BQ118" s="2"/>
      <c r="BR118" s="5"/>
      <c r="BS118" s="2"/>
      <c r="BT118" s="5"/>
      <c r="BU118" s="2"/>
      <c r="BV118" s="5"/>
      <c r="BW118" s="2"/>
      <c r="BX118" s="5"/>
      <c r="BY118" s="2"/>
      <c r="BZ118" s="5"/>
      <c r="CA118" s="2"/>
      <c r="CB118" s="5"/>
      <c r="CC118" s="2"/>
      <c r="CD118" s="5"/>
      <c r="CE118" s="2"/>
      <c r="CF118" s="5"/>
      <c r="CG118" s="2"/>
      <c r="CH118" s="5"/>
      <c r="CI118" s="2"/>
      <c r="CJ118" s="5"/>
      <c r="CK118" s="2"/>
      <c r="CL118" s="5"/>
      <c r="CM118" s="2"/>
      <c r="CN118" s="5"/>
      <c r="CO118" s="2"/>
      <c r="CP118" s="5"/>
      <c r="CQ118" s="2"/>
      <c r="CR118" s="5"/>
      <c r="CS118" s="2"/>
      <c r="CT118" s="5"/>
      <c r="CU118" s="2"/>
      <c r="CV118" s="5"/>
      <c r="CW118" s="2"/>
      <c r="CX118" s="5"/>
      <c r="CY118" s="2"/>
      <c r="CZ118" s="5"/>
      <c r="DA118" s="2"/>
      <c r="DB118" s="5"/>
      <c r="DC118" s="2"/>
      <c r="DD118" s="5"/>
      <c r="DE118" s="2"/>
      <c r="DF118" s="28"/>
    </row>
    <row r="119" spans="2:110" outlineLevel="1" x14ac:dyDescent="0.25">
      <c r="B119">
        <v>56500</v>
      </c>
      <c r="C119" t="s">
        <v>65</v>
      </c>
      <c r="D119" s="5">
        <f>IFERROR(1953,0)</f>
        <v>1953</v>
      </c>
      <c r="E119" s="4">
        <f t="shared" ref="E119:E120" si="636">IFERROR(D119/D$11,0)</f>
        <v>5.1725507852848476E-2</v>
      </c>
      <c r="F119" s="5">
        <f>IFERROR(1953,0)</f>
        <v>1953</v>
      </c>
      <c r="G119" s="4">
        <f t="shared" ref="G119:G120" si="637">IFERROR(F119/F$11,0)</f>
        <v>5.160250482204666E-2</v>
      </c>
      <c r="H119" s="5">
        <f>IFERROR(1953,0)</f>
        <v>1953</v>
      </c>
      <c r="I119" s="4">
        <f t="shared" ref="I119:I120" si="638">IFERROR(H119/H$11,0)</f>
        <v>5.9766808458548829E-2</v>
      </c>
      <c r="J119" s="5">
        <f>IFERROR(1953,0)</f>
        <v>1953</v>
      </c>
      <c r="K119" s="4">
        <f t="shared" ref="K119:K120" si="639">IFERROR(J119/J$11,0)</f>
        <v>5.1135024742753908E-2</v>
      </c>
      <c r="L119" s="5">
        <f>IFERROR(1953,0)</f>
        <v>1953</v>
      </c>
      <c r="M119" s="4">
        <f t="shared" ref="M119:M120" si="640">IFERROR(L119/L$11,0)</f>
        <v>4.8267510256537E-2</v>
      </c>
      <c r="N119" s="5">
        <f>IFERROR(1953,0)</f>
        <v>1953</v>
      </c>
      <c r="O119" s="4">
        <f t="shared" ref="O119:O120" si="641">IFERROR(N119/N$11,0)</f>
        <v>4.8632900044822951E-2</v>
      </c>
      <c r="P119" s="5">
        <f>IFERROR(1953,0)</f>
        <v>1953</v>
      </c>
      <c r="Q119" s="4">
        <f t="shared" ref="Q119:Q120" si="642">IFERROR(P119/P$11,0)</f>
        <v>3.5205047318611987E-2</v>
      </c>
      <c r="R119" s="5">
        <f>IFERROR(1953,0)</f>
        <v>1953</v>
      </c>
      <c r="S119" s="4">
        <f t="shared" ref="S119:S120" si="643">IFERROR(R119/R$11,0)</f>
        <v>3.5544635544635543E-2</v>
      </c>
      <c r="T119" s="5">
        <f>IFERROR(1953,0)</f>
        <v>1953</v>
      </c>
      <c r="U119" s="4">
        <f t="shared" ref="U119:U120" si="644">IFERROR(T119/T$11,0)</f>
        <v>3.6129867727314774E-2</v>
      </c>
      <c r="V119" s="5">
        <f>IFERROR(1953,0)</f>
        <v>1953</v>
      </c>
      <c r="W119" s="4">
        <f t="shared" ref="W119:W120" si="645">IFERROR(V119/V$11,0)</f>
        <v>3.4971796937953263E-2</v>
      </c>
      <c r="X119" s="5">
        <f>IFERROR(1953,0)</f>
        <v>1953</v>
      </c>
      <c r="Y119" s="4">
        <f t="shared" ref="Y119:Y120" si="646">IFERROR(X119/X$11,0)</f>
        <v>3.6778275771157394E-2</v>
      </c>
      <c r="Z119" s="5">
        <f>IFERROR(1953,0)</f>
        <v>1953</v>
      </c>
      <c r="AA119" s="4">
        <f t="shared" ref="AA119:AA120" si="647">IFERROR(Z119/Z$11,0)</f>
        <v>3.8635014836795253E-2</v>
      </c>
      <c r="AB119" s="5">
        <f>IFERROR(1953,0)</f>
        <v>1953</v>
      </c>
      <c r="AC119" s="4">
        <f t="shared" ref="AC119:AC120" si="648">IFERROR(AB119/AB$11,0)</f>
        <v>3.698023176550784E-2</v>
      </c>
      <c r="AD119" s="5">
        <f>IFERROR(1953,0)</f>
        <v>1953</v>
      </c>
      <c r="AE119" s="4">
        <f t="shared" ref="AE119:AE120" si="649">IFERROR(AD119/AD$11,0)</f>
        <v>4.0665472868862698E-2</v>
      </c>
      <c r="AF119" s="5">
        <f>IFERROR(1953,0)</f>
        <v>1953</v>
      </c>
      <c r="AG119" s="4">
        <f t="shared" ref="AG119:AG120" si="650">IFERROR(AF119/AF$11,0)</f>
        <v>3.9552027218599378E-2</v>
      </c>
      <c r="AH119" s="5">
        <f>IFERROR(1953,0)</f>
        <v>1953</v>
      </c>
      <c r="AI119" s="4">
        <f t="shared" ref="AI119:AI120" si="651">IFERROR(AH119/AH$11,0)</f>
        <v>4.8590550593386905E-2</v>
      </c>
      <c r="AJ119" s="5">
        <f>IFERROR(1953,0)</f>
        <v>1953</v>
      </c>
      <c r="AK119" s="4">
        <f t="shared" ref="AK119:AK120" si="652">IFERROR(AJ119/AJ$11,0)</f>
        <v>4.0568330529070856E-2</v>
      </c>
      <c r="AL119" s="5">
        <f>IFERROR(1953,0)</f>
        <v>1953</v>
      </c>
      <c r="AM119" s="4">
        <f t="shared" ref="AM119:AM120" si="653">IFERROR(AL119/AL$11,0)</f>
        <v>4.3484069200454209E-2</v>
      </c>
      <c r="AN119" s="5">
        <f>IFERROR(1953,0)</f>
        <v>1953</v>
      </c>
      <c r="AO119" s="4">
        <f t="shared" ref="AO119:AO120" si="654">IFERROR(AN119/AN$11,0)</f>
        <v>3.5687528551850159E-2</v>
      </c>
      <c r="AP119" s="5">
        <f>IFERROR(1953,0)</f>
        <v>1953</v>
      </c>
      <c r="AQ119" s="4">
        <f t="shared" ref="AQ119:AQ120" si="655">IFERROR(AP119/AP$11,0)</f>
        <v>3.967496190959878E-2</v>
      </c>
      <c r="AR119" s="5">
        <f>IFERROR(1953,0)</f>
        <v>1953</v>
      </c>
      <c r="AS119" s="4">
        <f t="shared" ref="AS119:AS120" si="656">IFERROR(AR119/AR$11,0)</f>
        <v>3.8401793263464226E-2</v>
      </c>
      <c r="AT119" s="5">
        <f>IFERROR(1953,0)</f>
        <v>1953</v>
      </c>
      <c r="AU119" s="4">
        <f t="shared" ref="AU119:AU120" si="657">IFERROR(AT119/AT$11,0)</f>
        <v>4.0537174644028395E-2</v>
      </c>
      <c r="AV119" s="5">
        <f>IFERROR(1953,0)</f>
        <v>1953</v>
      </c>
      <c r="AW119" s="4">
        <f t="shared" ref="AW119:AW120" si="658">IFERROR(AV119/AV$11,0)</f>
        <v>4.7390259882070324E-2</v>
      </c>
      <c r="AX119" s="5">
        <f>IFERROR(1953,0)</f>
        <v>1953</v>
      </c>
      <c r="AY119" s="4">
        <f t="shared" ref="AY119:AY120" si="659">IFERROR(AX119/AX$11,0)</f>
        <v>3.7950332284015391E-2</v>
      </c>
      <c r="AZ119" s="5">
        <f>IFERROR(1953,0)</f>
        <v>1953</v>
      </c>
      <c r="BA119" s="4">
        <f t="shared" ref="BA119:BA120" si="660">IFERROR(AZ119/AZ$11,0)</f>
        <v>4.695275874504147E-2</v>
      </c>
      <c r="BB119" s="5">
        <f>IFERROR(1953,0)</f>
        <v>1953</v>
      </c>
      <c r="BC119" s="4">
        <f t="shared" ref="BC119:BC120" si="661">IFERROR(BB119/BB$11,0)</f>
        <v>4.4990670137529082E-2</v>
      </c>
      <c r="BD119" s="5">
        <f>IFERROR(1953,0)</f>
        <v>1953</v>
      </c>
      <c r="BE119" s="4">
        <f t="shared" ref="BE119:BE120" si="662">IFERROR(BD119/BD$11,0)</f>
        <v>4.8938782669707068E-2</v>
      </c>
      <c r="BF119" s="5">
        <f>IFERROR(1953,0)</f>
        <v>1953</v>
      </c>
      <c r="BG119" s="4">
        <f t="shared" ref="BG119:BG120" si="663">IFERROR(BF119/BF$11,0)</f>
        <v>5.0139919385895099E-2</v>
      </c>
      <c r="BH119" s="5">
        <f>IFERROR(1953,0)</f>
        <v>1953</v>
      </c>
      <c r="BI119" s="4">
        <f t="shared" ref="BI119:BI120" si="664">IFERROR(BH119/BH$11,0)</f>
        <v>5.1787229529062367E-2</v>
      </c>
      <c r="BJ119" s="5">
        <f>IFERROR(1953,0)</f>
        <v>1953</v>
      </c>
      <c r="BK119" s="4">
        <f t="shared" ref="BK119:BK120" si="665">IFERROR(BJ119/BJ$11,0)</f>
        <v>5.0484683986041098E-2</v>
      </c>
      <c r="BL119" s="5">
        <f>IFERROR(1953,0)</f>
        <v>1953</v>
      </c>
      <c r="BM119" s="4">
        <f t="shared" ref="BM119:BM120" si="666">IFERROR(BL119/BL$11,0)</f>
        <v>4.5670322475036829E-2</v>
      </c>
      <c r="BN119" s="5">
        <f>IFERROR(1953,0)</f>
        <v>1953</v>
      </c>
      <c r="BO119" s="4">
        <f t="shared" ref="BO119:BO120" si="667">IFERROR(BN119/BN$11,0)</f>
        <v>4.8740921909705755E-2</v>
      </c>
      <c r="BP119" s="5">
        <f>IFERROR(1953,0)</f>
        <v>1953</v>
      </c>
      <c r="BQ119" s="4">
        <f t="shared" ref="BQ119:BQ120" si="668">IFERROR(BP119/BP$11,0)</f>
        <v>5.5085462853274668E-2</v>
      </c>
      <c r="BR119" s="5">
        <f>IFERROR(1953,0)</f>
        <v>1953</v>
      </c>
      <c r="BS119" s="4">
        <f t="shared" ref="BS119:BS120" si="669">IFERROR(BR119/BR$11,0)</f>
        <v>5.8862533530245037E-2</v>
      </c>
      <c r="BT119" s="5">
        <f>IFERROR(1953,0)</f>
        <v>1953</v>
      </c>
      <c r="BU119" s="4">
        <f t="shared" ref="BU119:BU120" si="670">IFERROR(BT119/BT$11,0)</f>
        <v>4.5775225594749794E-2</v>
      </c>
      <c r="BV119" s="5">
        <f>IFERROR(1953,0)</f>
        <v>1953</v>
      </c>
      <c r="BW119" s="4">
        <f t="shared" ref="BW119:BW120" si="671">IFERROR(BV119/BV$11,0)</f>
        <v>5.7038551401869156E-2</v>
      </c>
      <c r="BX119" s="5">
        <f>IFERROR(1953,0)</f>
        <v>1953</v>
      </c>
      <c r="BY119" s="4">
        <f t="shared" ref="BY119:BY120" si="672">IFERROR(BX119/BX$11,0)</f>
        <v>5.239014968614196E-2</v>
      </c>
      <c r="BZ119" s="5">
        <f>IFERROR(1953,0)</f>
        <v>1953</v>
      </c>
      <c r="CA119" s="4">
        <f t="shared" ref="CA119:CA120" si="673">IFERROR(BZ119/BZ$11,0)</f>
        <v>5.9477402850529909E-2</v>
      </c>
      <c r="CB119" s="5">
        <f>IFERROR(1953,0)</f>
        <v>1953</v>
      </c>
      <c r="CC119" s="4">
        <f t="shared" ref="CC119:CC120" si="674">IFERROR(CB119/CB$11,0)</f>
        <v>5.2491533623609095E-2</v>
      </c>
      <c r="CD119" s="5">
        <f>IFERROR(1953,0)</f>
        <v>1953</v>
      </c>
      <c r="CE119" s="4">
        <f t="shared" ref="CE119:CE120" si="675">IFERROR(CD119/CD$11,0)</f>
        <v>5.2289156626506024E-2</v>
      </c>
      <c r="CF119" s="5">
        <f>IFERROR(1953,0)</f>
        <v>1953</v>
      </c>
      <c r="CG119" s="4">
        <f t="shared" ref="CG119:CG120" si="676">IFERROR(CF119/CF$11,0)</f>
        <v>5.1098901098901098E-2</v>
      </c>
      <c r="CH119" s="5">
        <f>IFERROR(1953,0)</f>
        <v>1953</v>
      </c>
      <c r="CI119" s="4">
        <f t="shared" ref="CI119:CI120" si="677">IFERROR(CH119/CH$11,0)</f>
        <v>4.9882509194932569E-2</v>
      </c>
      <c r="CJ119" s="5">
        <f>IFERROR(1953,0)</f>
        <v>1953</v>
      </c>
      <c r="CK119" s="4">
        <f t="shared" ref="CK119:CK120" si="678">IFERROR(CJ119/CJ$11,0)</f>
        <v>4.6890756302521007E-2</v>
      </c>
      <c r="CL119" s="5">
        <f>IFERROR(1953,0)</f>
        <v>1953</v>
      </c>
      <c r="CM119" s="4">
        <f t="shared" ref="CM119:CM120" si="679">IFERROR(CL119/CL$11,0)</f>
        <v>4.3323942412209673E-2</v>
      </c>
      <c r="CN119" s="5">
        <f>IFERROR(1953,0)</f>
        <v>1953</v>
      </c>
      <c r="CO119" s="4">
        <f t="shared" ref="CO119:CO120" si="680">IFERROR(CN119/CN$11,0)</f>
        <v>4.7367272198103369E-2</v>
      </c>
      <c r="CP119" s="5">
        <f>IFERROR(1953,0)</f>
        <v>1953</v>
      </c>
      <c r="CQ119" s="4">
        <f t="shared" ref="CQ119:CQ120" si="681">IFERROR(CP119/CP$11,0)</f>
        <v>4.9314445875312474E-2</v>
      </c>
      <c r="CR119" s="5">
        <f>IFERROR(1953,0)</f>
        <v>1953</v>
      </c>
      <c r="CS119" s="4">
        <f t="shared" ref="CS119:CS120" si="682">IFERROR(CR119/CR$11,0)</f>
        <v>5.9327440080196844E-2</v>
      </c>
      <c r="CT119" s="5">
        <f>IFERROR(1953,0)</f>
        <v>1953</v>
      </c>
      <c r="CU119" s="4">
        <f t="shared" ref="CU119:CU120" si="683">IFERROR(CT119/CT$11,0)</f>
        <v>5.1105586811461469E-2</v>
      </c>
      <c r="CV119" s="5">
        <f>IFERROR(1953,0)</f>
        <v>1953</v>
      </c>
      <c r="CW119" s="4">
        <f t="shared" ref="CW119:CW120" si="684">IFERROR(CV119/CV$11,0)</f>
        <v>5.0066652994257589E-2</v>
      </c>
      <c r="CX119" s="5">
        <f>IFERROR(1953,0)</f>
        <v>1953</v>
      </c>
      <c r="CY119" s="4">
        <f t="shared" ref="CY119:CY120" si="685">IFERROR(CX119/CX$11,0)</f>
        <v>4.3318176777198625E-2</v>
      </c>
      <c r="CZ119" s="5">
        <f>IFERROR(1953,0)</f>
        <v>1953</v>
      </c>
      <c r="DA119" s="4">
        <f t="shared" ref="DA119:DA120" si="686">IFERROR(CZ119/CZ$11,0)</f>
        <v>4.2527709426648956E-2</v>
      </c>
      <c r="DB119" s="5">
        <f>IFERROR(1953,0)</f>
        <v>1953</v>
      </c>
      <c r="DC119" s="4">
        <f t="shared" ref="DC119:DC120" si="687">IFERROR(DB119/DB$11,0)</f>
        <v>4.1802226027397263E-2</v>
      </c>
      <c r="DD119" s="5">
        <f>SUM(OSRRefD93_7_0x_0)</f>
        <v>101556</v>
      </c>
      <c r="DE119" s="4">
        <f t="shared" ref="DE119:DE120" si="688">IFERROR(DD119/DD$11,0)</f>
        <v>4.5412694501744184E-2</v>
      </c>
      <c r="DF119" s="28"/>
    </row>
    <row r="120" spans="2:110" x14ac:dyDescent="0.25">
      <c r="C120" s="31" t="str">
        <f>"TOTAL " &amp; "Utilities"</f>
        <v>TOTAL Utilities</v>
      </c>
      <c r="D120" s="3">
        <f>SUM(OSRRefD93_7x_0_0)</f>
        <v>1953</v>
      </c>
      <c r="E120" s="1">
        <f t="shared" si="636"/>
        <v>5.1725507852848476E-2</v>
      </c>
      <c r="F120" s="3">
        <f>SUM(OSRRefD93_7x_0_1)</f>
        <v>1953</v>
      </c>
      <c r="G120" s="1">
        <f t="shared" si="637"/>
        <v>5.160250482204666E-2</v>
      </c>
      <c r="H120" s="3">
        <f>SUM(OSRRefD93_7x_0_2)</f>
        <v>1953</v>
      </c>
      <c r="I120" s="1">
        <f t="shared" si="638"/>
        <v>5.9766808458548829E-2</v>
      </c>
      <c r="J120" s="3">
        <f>SUM(OSRRefD93_7x_0_3)</f>
        <v>1953</v>
      </c>
      <c r="K120" s="1">
        <f t="shared" si="639"/>
        <v>5.1135024742753908E-2</v>
      </c>
      <c r="L120" s="3">
        <f>SUM(OSRRefD93_7x_0_4)</f>
        <v>1953</v>
      </c>
      <c r="M120" s="1">
        <f t="shared" si="640"/>
        <v>4.8267510256537E-2</v>
      </c>
      <c r="N120" s="3">
        <f>SUM(OSRRefD93_7x_0_5)</f>
        <v>1953</v>
      </c>
      <c r="O120" s="1">
        <f t="shared" si="641"/>
        <v>4.8632900044822951E-2</v>
      </c>
      <c r="P120" s="3">
        <f>SUM(OSRRefD93_7x_0_6)</f>
        <v>1953</v>
      </c>
      <c r="Q120" s="1">
        <f t="shared" si="642"/>
        <v>3.5205047318611987E-2</v>
      </c>
      <c r="R120" s="3">
        <f>SUM(OSRRefD93_7x_0_7)</f>
        <v>1953</v>
      </c>
      <c r="S120" s="1">
        <f t="shared" si="643"/>
        <v>3.5544635544635543E-2</v>
      </c>
      <c r="T120" s="3">
        <f>SUM(OSRRefD93_7x_0_8)</f>
        <v>1953</v>
      </c>
      <c r="U120" s="1">
        <f t="shared" si="644"/>
        <v>3.6129867727314774E-2</v>
      </c>
      <c r="V120" s="3">
        <f>SUM(OSRRefD93_7x_0_9)</f>
        <v>1953</v>
      </c>
      <c r="W120" s="1">
        <f t="shared" si="645"/>
        <v>3.4971796937953263E-2</v>
      </c>
      <c r="X120" s="3">
        <f>SUM(OSRRefD93_7x_0_10)</f>
        <v>1953</v>
      </c>
      <c r="Y120" s="1">
        <f t="shared" si="646"/>
        <v>3.6778275771157394E-2</v>
      </c>
      <c r="Z120" s="3">
        <f>SUM(OSRRefD93_7x_0_11)</f>
        <v>1953</v>
      </c>
      <c r="AA120" s="1">
        <f t="shared" si="647"/>
        <v>3.8635014836795253E-2</v>
      </c>
      <c r="AB120" s="3">
        <f>SUM(OSRRefD93_7x_0_12)</f>
        <v>1953</v>
      </c>
      <c r="AC120" s="1">
        <f t="shared" si="648"/>
        <v>3.698023176550784E-2</v>
      </c>
      <c r="AD120" s="3">
        <f>SUM(OSRRefD93_7x_0_13)</f>
        <v>1953</v>
      </c>
      <c r="AE120" s="1">
        <f t="shared" si="649"/>
        <v>4.0665472868862698E-2</v>
      </c>
      <c r="AF120" s="3">
        <f>SUM(OSRRefD93_7x_0_14)</f>
        <v>1953</v>
      </c>
      <c r="AG120" s="1">
        <f t="shared" si="650"/>
        <v>3.9552027218599378E-2</v>
      </c>
      <c r="AH120" s="3">
        <f>SUM(OSRRefD93_7x_0_15)</f>
        <v>1953</v>
      </c>
      <c r="AI120" s="1">
        <f t="shared" si="651"/>
        <v>4.8590550593386905E-2</v>
      </c>
      <c r="AJ120" s="3">
        <f>SUM(OSRRefD93_7x_0_16)</f>
        <v>1953</v>
      </c>
      <c r="AK120" s="1">
        <f t="shared" si="652"/>
        <v>4.0568330529070856E-2</v>
      </c>
      <c r="AL120" s="3">
        <f>SUM(OSRRefD93_7x_0_17)</f>
        <v>1953</v>
      </c>
      <c r="AM120" s="1">
        <f t="shared" si="653"/>
        <v>4.3484069200454209E-2</v>
      </c>
      <c r="AN120" s="3">
        <f>SUM(OSRRefD93_7x_0_18)</f>
        <v>1953</v>
      </c>
      <c r="AO120" s="1">
        <f t="shared" si="654"/>
        <v>3.5687528551850159E-2</v>
      </c>
      <c r="AP120" s="3">
        <f>SUM(OSRRefD93_7x_0_19)</f>
        <v>1953</v>
      </c>
      <c r="AQ120" s="1">
        <f t="shared" si="655"/>
        <v>3.967496190959878E-2</v>
      </c>
      <c r="AR120" s="3">
        <f>SUM(OSRRefD93_7x_0_20)</f>
        <v>1953</v>
      </c>
      <c r="AS120" s="1">
        <f t="shared" si="656"/>
        <v>3.8401793263464226E-2</v>
      </c>
      <c r="AT120" s="3">
        <f>SUM(OSRRefD93_7x_0_21)</f>
        <v>1953</v>
      </c>
      <c r="AU120" s="1">
        <f t="shared" si="657"/>
        <v>4.0537174644028395E-2</v>
      </c>
      <c r="AV120" s="3">
        <f>SUM(OSRRefD93_7x_0_22)</f>
        <v>1953</v>
      </c>
      <c r="AW120" s="1">
        <f t="shared" si="658"/>
        <v>4.7390259882070324E-2</v>
      </c>
      <c r="AX120" s="3">
        <f>SUM(OSRRefD93_7x_0_23)</f>
        <v>1953</v>
      </c>
      <c r="AY120" s="1">
        <f t="shared" si="659"/>
        <v>3.7950332284015391E-2</v>
      </c>
      <c r="AZ120" s="3">
        <f>SUM(OSRRefD93_7x_0_24)</f>
        <v>1953</v>
      </c>
      <c r="BA120" s="1">
        <f t="shared" si="660"/>
        <v>4.695275874504147E-2</v>
      </c>
      <c r="BB120" s="3">
        <f>SUM(OSRRefD93_7x_0_25)</f>
        <v>1953</v>
      </c>
      <c r="BC120" s="1">
        <f t="shared" si="661"/>
        <v>4.4990670137529082E-2</v>
      </c>
      <c r="BD120" s="3">
        <f>SUM(OSRRefD93_7x_0_26)</f>
        <v>1953</v>
      </c>
      <c r="BE120" s="1">
        <f t="shared" si="662"/>
        <v>4.8938782669707068E-2</v>
      </c>
      <c r="BF120" s="3">
        <f>SUM(OSRRefD93_7x_0_27)</f>
        <v>1953</v>
      </c>
      <c r="BG120" s="1">
        <f t="shared" si="663"/>
        <v>5.0139919385895099E-2</v>
      </c>
      <c r="BH120" s="3">
        <f>SUM(OSRRefD93_7x_0_28)</f>
        <v>1953</v>
      </c>
      <c r="BI120" s="1">
        <f t="shared" si="664"/>
        <v>5.1787229529062367E-2</v>
      </c>
      <c r="BJ120" s="3">
        <f>SUM(OSRRefD93_7x_0_29)</f>
        <v>1953</v>
      </c>
      <c r="BK120" s="1">
        <f t="shared" si="665"/>
        <v>5.0484683986041098E-2</v>
      </c>
      <c r="BL120" s="3">
        <f>SUM(OSRRefD93_7x_0_30)</f>
        <v>1953</v>
      </c>
      <c r="BM120" s="1">
        <f t="shared" si="666"/>
        <v>4.5670322475036829E-2</v>
      </c>
      <c r="BN120" s="3">
        <f>SUM(OSRRefD93_7x_0_31)</f>
        <v>1953</v>
      </c>
      <c r="BO120" s="1">
        <f t="shared" si="667"/>
        <v>4.8740921909705755E-2</v>
      </c>
      <c r="BP120" s="3">
        <f>SUM(OSRRefD93_7x_0_32)</f>
        <v>1953</v>
      </c>
      <c r="BQ120" s="1">
        <f t="shared" si="668"/>
        <v>5.5085462853274668E-2</v>
      </c>
      <c r="BR120" s="3">
        <f>SUM(OSRRefD93_7x_0_33)</f>
        <v>1953</v>
      </c>
      <c r="BS120" s="1">
        <f t="shared" si="669"/>
        <v>5.8862533530245037E-2</v>
      </c>
      <c r="BT120" s="3">
        <f>SUM(OSRRefD93_7x_0_34)</f>
        <v>1953</v>
      </c>
      <c r="BU120" s="1">
        <f t="shared" si="670"/>
        <v>4.5775225594749794E-2</v>
      </c>
      <c r="BV120" s="3">
        <f>SUM(OSRRefD93_7x_0_35)</f>
        <v>1953</v>
      </c>
      <c r="BW120" s="1">
        <f t="shared" si="671"/>
        <v>5.7038551401869156E-2</v>
      </c>
      <c r="BX120" s="3">
        <f>SUM(OSRRefD93_7x_0_36)</f>
        <v>1953</v>
      </c>
      <c r="BY120" s="1">
        <f t="shared" si="672"/>
        <v>5.239014968614196E-2</v>
      </c>
      <c r="BZ120" s="3">
        <f>SUM(OSRRefD93_7x_0_37)</f>
        <v>1953</v>
      </c>
      <c r="CA120" s="1">
        <f t="shared" si="673"/>
        <v>5.9477402850529909E-2</v>
      </c>
      <c r="CB120" s="3">
        <f>SUM(OSRRefD93_7x_0_38)</f>
        <v>1953</v>
      </c>
      <c r="CC120" s="1">
        <f t="shared" si="674"/>
        <v>5.2491533623609095E-2</v>
      </c>
      <c r="CD120" s="3">
        <f>SUM(OSRRefD93_7x_0_39)</f>
        <v>1953</v>
      </c>
      <c r="CE120" s="1">
        <f t="shared" si="675"/>
        <v>5.2289156626506024E-2</v>
      </c>
      <c r="CF120" s="3">
        <f>SUM(OSRRefD93_7x_0_40)</f>
        <v>1953</v>
      </c>
      <c r="CG120" s="1">
        <f t="shared" si="676"/>
        <v>5.1098901098901098E-2</v>
      </c>
      <c r="CH120" s="3">
        <f>SUM(OSRRefD93_7x_0_41)</f>
        <v>1953</v>
      </c>
      <c r="CI120" s="1">
        <f t="shared" si="677"/>
        <v>4.9882509194932569E-2</v>
      </c>
      <c r="CJ120" s="3">
        <f>SUM(OSRRefD93_7x_0_42)</f>
        <v>1953</v>
      </c>
      <c r="CK120" s="1">
        <f t="shared" si="678"/>
        <v>4.6890756302521007E-2</v>
      </c>
      <c r="CL120" s="3">
        <f>SUM(OSRRefD93_7x_0_43)</f>
        <v>1953</v>
      </c>
      <c r="CM120" s="1">
        <f t="shared" si="679"/>
        <v>4.3323942412209673E-2</v>
      </c>
      <c r="CN120" s="3">
        <f>SUM(OSRRefD93_7x_0_44)</f>
        <v>1953</v>
      </c>
      <c r="CO120" s="1">
        <f t="shared" si="680"/>
        <v>4.7367272198103369E-2</v>
      </c>
      <c r="CP120" s="3">
        <f>SUM(OSRRefD93_7x_0_45)</f>
        <v>1953</v>
      </c>
      <c r="CQ120" s="1">
        <f t="shared" si="681"/>
        <v>4.9314445875312474E-2</v>
      </c>
      <c r="CR120" s="3">
        <f>SUM(OSRRefD93_7x_0_46)</f>
        <v>1953</v>
      </c>
      <c r="CS120" s="1">
        <f t="shared" si="682"/>
        <v>5.9327440080196844E-2</v>
      </c>
      <c r="CT120" s="3">
        <f>SUM(OSRRefD93_7x_0_47)</f>
        <v>1953</v>
      </c>
      <c r="CU120" s="1">
        <f t="shared" si="683"/>
        <v>5.1105586811461469E-2</v>
      </c>
      <c r="CV120" s="3">
        <f>SUM(OSRRefD93_7x_0_48)</f>
        <v>1953</v>
      </c>
      <c r="CW120" s="1">
        <f t="shared" si="684"/>
        <v>5.0066652994257589E-2</v>
      </c>
      <c r="CX120" s="3">
        <f>SUM(OSRRefD93_7x_0_49)</f>
        <v>1953</v>
      </c>
      <c r="CY120" s="1">
        <f t="shared" si="685"/>
        <v>4.3318176777198625E-2</v>
      </c>
      <c r="CZ120" s="3">
        <f>SUM(OSRRefD93_7x_0_50)</f>
        <v>1953</v>
      </c>
      <c r="DA120" s="1">
        <f t="shared" si="686"/>
        <v>4.2527709426648956E-2</v>
      </c>
      <c r="DB120" s="3">
        <f>SUM(OSRRefD93_7x_0_51)</f>
        <v>1953</v>
      </c>
      <c r="DC120" s="1">
        <f t="shared" si="687"/>
        <v>4.1802226027397263E-2</v>
      </c>
      <c r="DD120" s="3">
        <f>SUM(OSRRefF93_7x_0)</f>
        <v>101556</v>
      </c>
      <c r="DE120" s="1">
        <f t="shared" si="688"/>
        <v>4.5412694501744184E-2</v>
      </c>
      <c r="DF120" s="28"/>
    </row>
    <row r="121" spans="2:110" x14ac:dyDescent="0.25">
      <c r="C121" s="37"/>
      <c r="D121" s="8"/>
      <c r="E121" s="16"/>
      <c r="F121" s="8"/>
      <c r="G121" s="16"/>
      <c r="H121" s="8"/>
      <c r="I121" s="16"/>
      <c r="J121" s="8"/>
      <c r="K121" s="16"/>
      <c r="L121" s="8"/>
      <c r="M121" s="16"/>
      <c r="N121" s="8"/>
      <c r="O121" s="16"/>
      <c r="P121" s="8"/>
      <c r="Q121" s="16"/>
      <c r="R121" s="8"/>
      <c r="S121" s="16"/>
      <c r="T121" s="8"/>
      <c r="U121" s="16"/>
      <c r="V121" s="8"/>
      <c r="W121" s="16"/>
      <c r="X121" s="8"/>
      <c r="Y121" s="16"/>
      <c r="Z121" s="8"/>
      <c r="AA121" s="16"/>
      <c r="AB121" s="8"/>
      <c r="AC121" s="16"/>
      <c r="AD121" s="8"/>
      <c r="AE121" s="16"/>
      <c r="AF121" s="8"/>
      <c r="AG121" s="16"/>
      <c r="AH121" s="8"/>
      <c r="AI121" s="16"/>
      <c r="AJ121" s="8"/>
      <c r="AK121" s="16"/>
      <c r="AL121" s="8"/>
      <c r="AM121" s="16"/>
      <c r="AN121" s="8"/>
      <c r="AO121" s="16"/>
      <c r="AP121" s="8"/>
      <c r="AQ121" s="16"/>
      <c r="AR121" s="8"/>
      <c r="AS121" s="16"/>
      <c r="AT121" s="8"/>
      <c r="AU121" s="16"/>
      <c r="AV121" s="8"/>
      <c r="AW121" s="16"/>
      <c r="AX121" s="8"/>
      <c r="AY121" s="16"/>
      <c r="AZ121" s="8"/>
      <c r="BA121" s="16"/>
      <c r="BB121" s="8"/>
      <c r="BC121" s="16"/>
      <c r="BD121" s="8"/>
      <c r="BE121" s="16"/>
      <c r="BF121" s="8"/>
      <c r="BG121" s="16"/>
      <c r="BH121" s="8"/>
      <c r="BI121" s="16"/>
      <c r="BJ121" s="8"/>
      <c r="BK121" s="16"/>
      <c r="BL121" s="8"/>
      <c r="BM121" s="16"/>
      <c r="BN121" s="8"/>
      <c r="BO121" s="16"/>
      <c r="BP121" s="8"/>
      <c r="BQ121" s="16"/>
      <c r="BR121" s="8"/>
      <c r="BS121" s="16"/>
      <c r="BT121" s="8"/>
      <c r="BU121" s="16"/>
      <c r="BV121" s="8"/>
      <c r="BW121" s="16"/>
      <c r="BX121" s="8"/>
      <c r="BY121" s="16"/>
      <c r="BZ121" s="8"/>
      <c r="CA121" s="16"/>
      <c r="CB121" s="8"/>
      <c r="CC121" s="16"/>
      <c r="CD121" s="8"/>
      <c r="CE121" s="16"/>
      <c r="CF121" s="8"/>
      <c r="CG121" s="16"/>
      <c r="CH121" s="8"/>
      <c r="CI121" s="16"/>
      <c r="CJ121" s="8"/>
      <c r="CK121" s="16"/>
      <c r="CL121" s="8"/>
      <c r="CM121" s="16"/>
      <c r="CN121" s="8"/>
      <c r="CO121" s="16"/>
      <c r="CP121" s="8"/>
      <c r="CQ121" s="16"/>
      <c r="CR121" s="8"/>
      <c r="CS121" s="16"/>
      <c r="CT121" s="8"/>
      <c r="CU121" s="16"/>
      <c r="CV121" s="8"/>
      <c r="CW121" s="16"/>
      <c r="CX121" s="8"/>
      <c r="CY121" s="16"/>
      <c r="CZ121" s="8"/>
      <c r="DA121" s="16"/>
      <c r="DB121" s="8"/>
      <c r="DC121" s="16"/>
      <c r="DD121" s="8"/>
      <c r="DE121" s="16"/>
      <c r="DF121" s="28"/>
    </row>
    <row r="122" spans="2:110" collapsed="1" x14ac:dyDescent="0.25">
      <c r="C122" s="49" t="s">
        <v>16</v>
      </c>
      <c r="D122" s="13">
        <f>SUM(OSRRefD94x_0_0)</f>
        <v>6939.71</v>
      </c>
      <c r="E122" s="12">
        <f>IFERROR(D122/D$11,0)</f>
        <v>0.18379929549487511</v>
      </c>
      <c r="F122" s="13">
        <f>SUM(OSRRefD94x_0_1)</f>
        <v>6948.43</v>
      </c>
      <c r="G122" s="12">
        <f>IFERROR(F122/F$11,0)</f>
        <v>0.18359262292916215</v>
      </c>
      <c r="H122" s="13">
        <f>SUM(OSRRefD94x_0_2)</f>
        <v>6510.43</v>
      </c>
      <c r="I122" s="12">
        <f>IFERROR(H122/H$11,0)</f>
        <v>0.19923585396456223</v>
      </c>
      <c r="J122" s="13">
        <f>SUM(OSRRefD94x_0_3)</f>
        <v>6991.87</v>
      </c>
      <c r="K122" s="12">
        <f>IFERROR(J122/J$11,0)</f>
        <v>0.18306679234414683</v>
      </c>
      <c r="L122" s="13">
        <f>SUM(OSRRefD94x_0_4)</f>
        <v>7189.03</v>
      </c>
      <c r="M122" s="12">
        <f>IFERROR(L122/L$11,0)</f>
        <v>0.17767361969255102</v>
      </c>
      <c r="N122" s="13">
        <f>SUM(OSRRefD94x_0_5)</f>
        <v>7159.15</v>
      </c>
      <c r="O122" s="12">
        <f>IFERROR(N122/N$11,0)</f>
        <v>0.17827456546640769</v>
      </c>
      <c r="P122" s="13">
        <f>SUM(OSRRefD94x_0_6)</f>
        <v>8477.15</v>
      </c>
      <c r="Q122" s="12">
        <f>IFERROR(P122/P$11,0)</f>
        <v>0.15281027489860297</v>
      </c>
      <c r="R122" s="13">
        <f>SUM(OSRRefD94x_0_7)</f>
        <v>8431.15</v>
      </c>
      <c r="S122" s="12">
        <f>IFERROR(R122/R$11,0)</f>
        <v>0.15344708344708344</v>
      </c>
      <c r="T122" s="13">
        <f>SUM(OSRRefD94x_0_8)</f>
        <v>8354.91</v>
      </c>
      <c r="U122" s="12">
        <f>IFERROR(T122/T$11,0)</f>
        <v>0.15456313014522247</v>
      </c>
      <c r="V122" s="13">
        <f>SUM(OSRRefD94x_0_9)</f>
        <v>8509.15</v>
      </c>
      <c r="W122" s="12">
        <f>IFERROR(V122/V$11,0)</f>
        <v>0.152370847882532</v>
      </c>
      <c r="X122" s="13">
        <f>SUM(OSRRefD94x_0_10)</f>
        <v>8497.15</v>
      </c>
      <c r="Y122" s="12">
        <f>IFERROR(X122/X$11,0)</f>
        <v>0.16001563029641067</v>
      </c>
      <c r="Z122" s="13">
        <f>SUM(OSRRefD94x_0_11)</f>
        <v>8278.91</v>
      </c>
      <c r="AA122" s="12">
        <f>IFERROR(Z122/Z$11,0)</f>
        <v>0.16377665677546982</v>
      </c>
      <c r="AB122" s="13">
        <f>SUM(OSRRefD94x_0_12)</f>
        <v>8472.91</v>
      </c>
      <c r="AC122" s="12">
        <f>IFERROR(AB122/AB$11,0)</f>
        <v>0.16043531773081876</v>
      </c>
      <c r="AD122" s="13">
        <f>SUM(OSRRefD94x_0_13)</f>
        <v>8060.91</v>
      </c>
      <c r="AE122" s="12">
        <f>IFERROR(AD122/AD$11,0)</f>
        <v>0.16784470911589555</v>
      </c>
      <c r="AF122" s="13">
        <f>SUM(OSRRefD94x_0_14)</f>
        <v>8178.15</v>
      </c>
      <c r="AG122" s="12">
        <f>IFERROR(AF122/AF$11,0)</f>
        <v>0.16562335453035765</v>
      </c>
      <c r="AH122" s="13">
        <f>SUM(OSRRefD94x_0_15)</f>
        <v>7387.91</v>
      </c>
      <c r="AI122" s="12">
        <f>IFERROR(AH122/AH$11,0)</f>
        <v>0.18381086258801282</v>
      </c>
      <c r="AJ122" s="13">
        <f>SUM(OSRRefD94x_0_16)</f>
        <v>8071.15</v>
      </c>
      <c r="AK122" s="12">
        <f>IFERROR(AJ122/AJ$11,0)</f>
        <v>0.16765646746016907</v>
      </c>
      <c r="AL122" s="13">
        <f>SUM(OSRRefD94x_0_17)</f>
        <v>7794.15</v>
      </c>
      <c r="AM122" s="12">
        <f>IFERROR(AL122/AL$11,0)</f>
        <v>0.17353884176073742</v>
      </c>
      <c r="AN122" s="13">
        <f>SUM(OSRRefD94x_0_18)</f>
        <v>8638.15</v>
      </c>
      <c r="AO122" s="12">
        <f>IFERROR(AN122/AN$11,0)</f>
        <v>0.15784650525354041</v>
      </c>
      <c r="AP122" s="13">
        <f>SUM(OSRRefD94x_0_19)</f>
        <v>8166.15</v>
      </c>
      <c r="AQ122" s="12">
        <f>IFERROR(AP122/AP$11,0)</f>
        <v>0.1658943626206196</v>
      </c>
      <c r="AR122" s="13">
        <f>SUM(OSRRefD94x_0_20)</f>
        <v>8305.15</v>
      </c>
      <c r="AS122" s="12">
        <f>IFERROR(AR122/AR$11,0)</f>
        <v>0.16330396995497179</v>
      </c>
      <c r="AT122" s="13">
        <f>SUM(OSRRefD94x_0_21)</f>
        <v>8075.15</v>
      </c>
      <c r="AU122" s="12">
        <f>IFERROR(AT122/AT$11,0)</f>
        <v>0.16761073519033584</v>
      </c>
      <c r="AV122" s="13">
        <f>SUM(OSRRefD94x_0_22)</f>
        <v>7476.15</v>
      </c>
      <c r="AW122" s="12">
        <f>IFERROR(AV122/AV$11,0)</f>
        <v>0.18141151634272401</v>
      </c>
      <c r="AX122" s="13">
        <f>SUM(OSRRefD94x_0_23)</f>
        <v>8356.91</v>
      </c>
      <c r="AY122" s="12">
        <f>IFERROR(AX122/AX$11,0)</f>
        <v>0.16238991877501846</v>
      </c>
      <c r="AZ122" s="13">
        <f>SUM(OSRRefD94x_0_24)</f>
        <v>7508.91</v>
      </c>
      <c r="BA122" s="12">
        <f>IFERROR(AZ122/AZ$11,0)</f>
        <v>0.18052434186801297</v>
      </c>
      <c r="BB122" s="13">
        <f>SUM(OSRRefD94x_0_25)</f>
        <v>7663.91</v>
      </c>
      <c r="BC122" s="12">
        <f>IFERROR(BB122/BB$11,0)</f>
        <v>0.17655117602340528</v>
      </c>
      <c r="BD122" s="13">
        <f>SUM(OSRRefD94x_0_26)</f>
        <v>7362.91</v>
      </c>
      <c r="BE122" s="12">
        <f>IFERROR(BD122/BD$11,0)</f>
        <v>0.18450171649084121</v>
      </c>
      <c r="BF122" s="13">
        <f>SUM(OSRRefD94x_0_27)</f>
        <v>7280.15</v>
      </c>
      <c r="BG122" s="12">
        <f>IFERROR(BF122/BF$11,0)</f>
        <v>0.18690534260994582</v>
      </c>
      <c r="BH122" s="13">
        <f>SUM(OSRRefD94x_0_28)</f>
        <v>7174.15</v>
      </c>
      <c r="BI122" s="12">
        <f>IFERROR(BH122/BH$11,0)</f>
        <v>0.19023520364870597</v>
      </c>
      <c r="BJ122" s="13">
        <f>SUM(OSRRefD94x_0_29)</f>
        <v>7258.15</v>
      </c>
      <c r="BK122" s="12">
        <f>IFERROR(BJ122/BJ$11,0)</f>
        <v>0.187621817241825</v>
      </c>
      <c r="BL122" s="13">
        <f>SUM(OSRRefD94x_0_30)</f>
        <v>7607.91</v>
      </c>
      <c r="BM122" s="12">
        <f>IFERROR(BL122/BL$11,0)</f>
        <v>0.17790870612445339</v>
      </c>
      <c r="BN122" s="13">
        <f>SUM(OSRRefD94x_0_31)</f>
        <v>7377.15</v>
      </c>
      <c r="BO122" s="12">
        <f>IFERROR(BN122/BN$11,0)</f>
        <v>0.18411115825201527</v>
      </c>
      <c r="BP122" s="13">
        <f>SUM(OSRRefD94x_0_32)</f>
        <v>6979.15</v>
      </c>
      <c r="BQ122" s="12">
        <f>IFERROR(BP122/BP$11,0)</f>
        <v>0.19685084898742031</v>
      </c>
      <c r="BR122" s="13">
        <f>SUM(OSRRefD94x_0_33)</f>
        <v>6786.83</v>
      </c>
      <c r="BS122" s="12">
        <f>IFERROR(BR122/BR$11,0)</f>
        <v>0.20455197564724675</v>
      </c>
      <c r="BT122" s="13">
        <f>SUM(OSRRefD94x_0_34)</f>
        <v>7567.03</v>
      </c>
      <c r="BU122" s="12">
        <f>IFERROR(BT122/BT$11,0)</f>
        <v>0.17735919371850462</v>
      </c>
      <c r="BV122" s="13">
        <f>SUM(OSRRefD94x_0_35)</f>
        <v>6830.5499999999993</v>
      </c>
      <c r="BW122" s="12">
        <f>IFERROR(BV122/BV$11,0)</f>
        <v>0.1994903621495327</v>
      </c>
      <c r="BX122" s="13">
        <f>SUM(OSRRefD94x_0_36)</f>
        <v>7100.4699999999993</v>
      </c>
      <c r="BY122" s="12">
        <f>IFERROR(BX122/BX$11,0)</f>
        <v>0.19047346960673855</v>
      </c>
      <c r="BZ122" s="13">
        <f>SUM(OSRRefD94x_0_37)</f>
        <v>6703.59</v>
      </c>
      <c r="CA122" s="12">
        <f>IFERROR(BZ122/BZ$11,0)</f>
        <v>0.20415367279814839</v>
      </c>
      <c r="CB122" s="13">
        <f>SUM(OSRRefD94x_0_38)</f>
        <v>7142.43</v>
      </c>
      <c r="CC122" s="12">
        <f>IFERROR(CB122/CB$11,0)</f>
        <v>0.19196984357361715</v>
      </c>
      <c r="CD122" s="13">
        <f>SUM(OSRRefD94x_0_39)</f>
        <v>7152.03</v>
      </c>
      <c r="CE122" s="12">
        <f>IFERROR(CD122/CD$11,0)</f>
        <v>0.19148674698795179</v>
      </c>
      <c r="CF122" s="13">
        <f>SUM(OSRRefD94x_0_40)</f>
        <v>7218.15</v>
      </c>
      <c r="CG122" s="12">
        <f>IFERROR(CF122/CF$11,0)</f>
        <v>0.18885792778649921</v>
      </c>
      <c r="CH122" s="13">
        <f>SUM(OSRRefD94x_0_41)</f>
        <v>7277.2699999999995</v>
      </c>
      <c r="CI122" s="12">
        <f>IFERROR(CH122/CH$11,0)</f>
        <v>0.18587224152022883</v>
      </c>
      <c r="CJ122" s="13">
        <f>SUM(OSRRefD94x_0_42)</f>
        <v>7513.15</v>
      </c>
      <c r="CK122" s="12">
        <f>IFERROR(CJ122/CJ$11,0)</f>
        <v>0.1803877551020408</v>
      </c>
      <c r="CL122" s="13">
        <f>SUM(OSRRefD94x_0_43)</f>
        <v>7583.15</v>
      </c>
      <c r="CM122" s="12">
        <f>IFERROR(CL122/CL$11,0)</f>
        <v>0.1682191264225027</v>
      </c>
      <c r="CN122" s="13">
        <f>SUM(OSRRefD94x_0_44)</f>
        <v>7253.15</v>
      </c>
      <c r="CO122" s="12">
        <f>IFERROR(CN122/CN$11,0)</f>
        <v>0.17591496689384201</v>
      </c>
      <c r="CP122" s="13">
        <f>SUM(OSRRefD94x_0_45)</f>
        <v>7111.91</v>
      </c>
      <c r="CQ122" s="12">
        <f>IFERROR(CP122/CP$11,0)</f>
        <v>0.17958008231699618</v>
      </c>
      <c r="CR122" s="13">
        <f>SUM(OSRRefD94x_0_46)</f>
        <v>6537.15</v>
      </c>
      <c r="CS122" s="12">
        <f>IFERROR(CR122/CR$11,0)</f>
        <v>0.19858288526382939</v>
      </c>
      <c r="CT122" s="13">
        <f>SUM(OSRRefD94x_0_47)</f>
        <v>6992.91</v>
      </c>
      <c r="CU122" s="12">
        <f>IFERROR(CT122/CT$11,0)</f>
        <v>0.18298861703519559</v>
      </c>
      <c r="CV122" s="13">
        <f>SUM(OSRRefD94x_0_48)</f>
        <v>7060.15</v>
      </c>
      <c r="CW122" s="12">
        <f>IFERROR(CV122/CV$11,0)</f>
        <v>0.18099236054142739</v>
      </c>
      <c r="CX122" s="13">
        <f>SUM(OSRRefD94x_0_49)</f>
        <v>7583.15</v>
      </c>
      <c r="CY122" s="12">
        <f>IFERROR(CX122/CX$11,0)</f>
        <v>0.16819673949207053</v>
      </c>
      <c r="CZ122" s="13">
        <f>SUM(OSRRefD94x_0_50)</f>
        <v>7654.91</v>
      </c>
      <c r="DA122" s="12">
        <f>IFERROR(CZ122/CZ$11,0)</f>
        <v>0.16669011170872983</v>
      </c>
      <c r="DB122" s="13">
        <f>SUM(OSRRefD94x_0_51)</f>
        <v>7722.91</v>
      </c>
      <c r="DC122" s="12">
        <f>IFERROR(DB122/DB$11,0)</f>
        <v>0.16530201198630137</v>
      </c>
      <c r="DD122" s="13">
        <f>SUM(OSRRefF94x_0)</f>
        <v>392273.16</v>
      </c>
      <c r="DE122" s="12">
        <f>IFERROR(DD122/DD$11,0)</f>
        <v>0.17541239489851723</v>
      </c>
      <c r="DF122" s="33"/>
    </row>
    <row r="123" spans="2:110" x14ac:dyDescent="0.25">
      <c r="D123" s="11"/>
      <c r="E123" s="9"/>
      <c r="F123" s="11"/>
      <c r="G123" s="9"/>
      <c r="H123" s="11"/>
      <c r="I123" s="9"/>
      <c r="J123" s="11"/>
      <c r="K123" s="9"/>
      <c r="L123" s="11"/>
      <c r="M123" s="9"/>
      <c r="N123" s="11"/>
      <c r="O123" s="9"/>
      <c r="P123" s="11"/>
      <c r="Q123" s="9"/>
      <c r="R123" s="11"/>
      <c r="S123" s="9"/>
      <c r="T123" s="11"/>
      <c r="U123" s="9"/>
      <c r="V123" s="11"/>
      <c r="W123" s="9"/>
      <c r="X123" s="11"/>
      <c r="Y123" s="9"/>
      <c r="Z123" s="11"/>
      <c r="AA123" s="9"/>
      <c r="AB123" s="11"/>
      <c r="AC123" s="9"/>
      <c r="AD123" s="11"/>
      <c r="AE123" s="9"/>
      <c r="AF123" s="11"/>
      <c r="AG123" s="9"/>
      <c r="AH123" s="11"/>
      <c r="AI123" s="9"/>
      <c r="AJ123" s="11"/>
      <c r="AK123" s="9"/>
      <c r="AL123" s="11"/>
      <c r="AM123" s="9"/>
      <c r="AN123" s="11"/>
      <c r="AO123" s="9"/>
      <c r="AP123" s="11"/>
      <c r="AQ123" s="9"/>
      <c r="AR123" s="11"/>
      <c r="AS123" s="9"/>
      <c r="AT123" s="11"/>
      <c r="AU123" s="9"/>
      <c r="AV123" s="11"/>
      <c r="AW123" s="9"/>
      <c r="AX123" s="11"/>
      <c r="AY123" s="9"/>
      <c r="AZ123" s="11"/>
      <c r="BA123" s="9"/>
      <c r="BB123" s="11"/>
      <c r="BC123" s="9"/>
      <c r="BD123" s="11"/>
      <c r="BE123" s="9"/>
      <c r="BF123" s="11"/>
      <c r="BG123" s="9"/>
      <c r="BH123" s="11"/>
      <c r="BI123" s="9"/>
      <c r="BJ123" s="11"/>
      <c r="BK123" s="9"/>
      <c r="BL123" s="11"/>
      <c r="BM123" s="9"/>
      <c r="BN123" s="11"/>
      <c r="BO123" s="9"/>
      <c r="BP123" s="11"/>
      <c r="BQ123" s="9"/>
      <c r="BR123" s="11"/>
      <c r="BS123" s="9"/>
      <c r="BT123" s="11"/>
      <c r="BU123" s="9"/>
      <c r="BV123" s="11"/>
      <c r="BW123" s="9"/>
      <c r="BX123" s="11"/>
      <c r="BY123" s="9"/>
      <c r="BZ123" s="11"/>
      <c r="CA123" s="9"/>
      <c r="CB123" s="11"/>
      <c r="CC123" s="9"/>
      <c r="CD123" s="11"/>
      <c r="CE123" s="9"/>
      <c r="CF123" s="11"/>
      <c r="CG123" s="9"/>
      <c r="CH123" s="11"/>
      <c r="CI123" s="9"/>
      <c r="CJ123" s="11"/>
      <c r="CK123" s="9"/>
      <c r="CL123" s="11"/>
      <c r="CM123" s="9"/>
      <c r="CN123" s="11"/>
      <c r="CO123" s="9"/>
      <c r="CP123" s="11"/>
      <c r="CQ123" s="9"/>
      <c r="CR123" s="11"/>
      <c r="CS123" s="9"/>
      <c r="CT123" s="11"/>
      <c r="CU123" s="9"/>
      <c r="CV123" s="11"/>
      <c r="CW123" s="9"/>
      <c r="CX123" s="11"/>
      <c r="CY123" s="9"/>
      <c r="CZ123" s="11"/>
      <c r="DA123" s="9"/>
      <c r="DB123" s="11"/>
      <c r="DC123" s="9"/>
      <c r="DD123" s="11"/>
      <c r="DE123" s="9"/>
    </row>
    <row r="124" spans="2:110" x14ac:dyDescent="0.25">
      <c r="C124" s="34" t="s">
        <v>21</v>
      </c>
      <c r="D124" s="13">
        <f>D57-D91-D122</f>
        <v>5833.29</v>
      </c>
      <c r="E124" s="12">
        <f>IFERROR(D124/D$11,0)</f>
        <v>0.15449559022168075</v>
      </c>
      <c r="F124" s="13">
        <f>F57-F91-F122</f>
        <v>5654.57</v>
      </c>
      <c r="G124" s="12">
        <f>IFERROR(F124/F$11,0)</f>
        <v>0.14940602953998997</v>
      </c>
      <c r="H124" s="13">
        <f>H57-H91-H122</f>
        <v>3995.5699999999997</v>
      </c>
      <c r="I124" s="12">
        <f>IFERROR(H124/H$11,0)</f>
        <v>0.12227468861890625</v>
      </c>
      <c r="J124" s="13">
        <f>J57-J91-J122</f>
        <v>6332.13</v>
      </c>
      <c r="K124" s="12">
        <f>IFERROR(J124/J$11,0)</f>
        <v>0.16579294635142566</v>
      </c>
      <c r="L124" s="13">
        <f>L57-L91-L122</f>
        <v>7156.97</v>
      </c>
      <c r="M124" s="12">
        <f>IFERROR(L124/L$11,0)</f>
        <v>0.17688127131629677</v>
      </c>
      <c r="N124" s="13">
        <f>N57-N91-N122</f>
        <v>6983.85</v>
      </c>
      <c r="O124" s="12">
        <f>IFERROR(N124/N$11,0)</f>
        <v>0.17390930823248171</v>
      </c>
      <c r="P124" s="13">
        <f>P57-P91-P122</f>
        <v>13407.85</v>
      </c>
      <c r="Q124" s="12">
        <f>IFERROR(P124/P$11,0)</f>
        <v>0.24169175304191079</v>
      </c>
      <c r="R124" s="13">
        <f>R57-R91-R122</f>
        <v>13031.85</v>
      </c>
      <c r="S124" s="12">
        <f>IFERROR(R124/R$11,0)</f>
        <v>0.2371799071799072</v>
      </c>
      <c r="T124" s="13">
        <f>T57-T91-T122</f>
        <v>12563.09</v>
      </c>
      <c r="U124" s="12">
        <f>IFERROR(T124/T$11,0)</f>
        <v>0.232413097770789</v>
      </c>
      <c r="V124" s="13">
        <f>V57-V91-V122</f>
        <v>13610.85</v>
      </c>
      <c r="W124" s="12">
        <f>IFERROR(V124/V$11,0)</f>
        <v>0.24372549019607845</v>
      </c>
      <c r="X124" s="13">
        <f>X57-X91-X122</f>
        <v>12345.85</v>
      </c>
      <c r="Y124" s="12">
        <f>IFERROR(X124/X$11,0)</f>
        <v>0.2324931264359158</v>
      </c>
      <c r="Z124" s="13">
        <f>Z57-Z91-Z122</f>
        <v>11176.09</v>
      </c>
      <c r="AA124" s="12">
        <f>IFERROR(Z124/Z$11,0)</f>
        <v>0.22108981206726014</v>
      </c>
      <c r="AB124" s="13">
        <f>AB57-AB91-AB122</f>
        <v>12059.09</v>
      </c>
      <c r="AC124" s="12">
        <f>IFERROR(AB124/AB$11,0)</f>
        <v>0.22833996061501174</v>
      </c>
      <c r="AD124" s="13">
        <f>AD57-AD91-AD122</f>
        <v>10162.09</v>
      </c>
      <c r="AE124" s="12">
        <f>IFERROR(AD124/AD$11,0)</f>
        <v>0.21159559405322118</v>
      </c>
      <c r="AF124" s="13">
        <f>AF57-AF91-AF122</f>
        <v>10677.85</v>
      </c>
      <c r="AG124" s="12">
        <f>IFERROR(AF124/AF$11,0)</f>
        <v>0.21624711409939651</v>
      </c>
      <c r="AH124" s="13">
        <f>AH57-AH91-AH122</f>
        <v>6696.09</v>
      </c>
      <c r="AI124" s="12">
        <f>IFERROR(AH124/AH$11,0)</f>
        <v>0.16659841265892072</v>
      </c>
      <c r="AJ124" s="13">
        <f>AJ57-AJ91-AJ122</f>
        <v>9963.85</v>
      </c>
      <c r="AK124" s="12">
        <f>IFERROR(AJ124/AJ$11,0)</f>
        <v>0.20697222741530089</v>
      </c>
      <c r="AL124" s="13">
        <f>AL57-AL91-AL122</f>
        <v>8570.85</v>
      </c>
      <c r="AM124" s="12">
        <f>IFERROR(AL124/AL$11,0)</f>
        <v>0.19083227573308398</v>
      </c>
      <c r="AN124" s="13">
        <f>AN57-AN91-AN122</f>
        <v>12642.85</v>
      </c>
      <c r="AO124" s="12">
        <f>IFERROR(AN124/AN$11,0)</f>
        <v>0.2310251256281407</v>
      </c>
      <c r="AP124" s="13">
        <f>AP57-AP91-AP122</f>
        <v>10381.85</v>
      </c>
      <c r="AQ124" s="12">
        <f>IFERROR(AP124/AP$11,0)</f>
        <v>0.21090604367699339</v>
      </c>
      <c r="AR124" s="13">
        <f>AR57-AR91-AR122</f>
        <v>11055.85</v>
      </c>
      <c r="AS124" s="12">
        <f>IFERROR(AR124/AR$11,0)</f>
        <v>0.21739091963741472</v>
      </c>
      <c r="AT124" s="13">
        <f>AT57-AT91-AT122</f>
        <v>9998.85</v>
      </c>
      <c r="AU124" s="12">
        <f>IFERROR(AT124/AT$11,0)</f>
        <v>0.20753974843289469</v>
      </c>
      <c r="AV124" s="13">
        <f>AV57-AV91-AV122</f>
        <v>7156.85</v>
      </c>
      <c r="AW124" s="12">
        <f>IFERROR(AV124/AV$11,0)</f>
        <v>0.1736635849651792</v>
      </c>
      <c r="AX124" s="13">
        <f>AX57-AX91-AX122</f>
        <v>11476.09</v>
      </c>
      <c r="AY124" s="12">
        <f>IFERROR(AX124/AX$11,0)</f>
        <v>0.22300124363608098</v>
      </c>
      <c r="AZ124" s="13">
        <f>AZ57-AZ91-AZ122</f>
        <v>7412.09</v>
      </c>
      <c r="BA124" s="12">
        <f>IFERROR(AZ124/AZ$11,0)</f>
        <v>0.17819665825219377</v>
      </c>
      <c r="BB124" s="13">
        <f>BB57-BB91-BB122</f>
        <v>8198.09</v>
      </c>
      <c r="BC124" s="12">
        <f>IFERROR(BB124/BB$11,0)</f>
        <v>0.18885691907208182</v>
      </c>
      <c r="BD124" s="13">
        <f>BD57-BD91-BD122</f>
        <v>6566.09</v>
      </c>
      <c r="BE124" s="12">
        <f>IFERROR(BD124/BD$11,0)</f>
        <v>0.16453479339464255</v>
      </c>
      <c r="BF124" s="13">
        <f>BF57-BF91-BF122</f>
        <v>6246.85</v>
      </c>
      <c r="BG124" s="12">
        <f>IFERROR(BF124/BF$11,0)</f>
        <v>0.1603771405098714</v>
      </c>
      <c r="BH124" s="13">
        <f>BH57-BH91-BH122</f>
        <v>5623.85</v>
      </c>
      <c r="BI124" s="12">
        <f>IFERROR(BH124/BH$11,0)</f>
        <v>0.1491262728044124</v>
      </c>
      <c r="BJ124" s="13">
        <f>BJ57-BJ91-BJ122</f>
        <v>6103.85</v>
      </c>
      <c r="BK124" s="12">
        <f>IFERROR(BJ124/BJ$11,0)</f>
        <v>0.15778337857050537</v>
      </c>
      <c r="BL124" s="13">
        <f>BL57-BL91-BL122</f>
        <v>7692.09</v>
      </c>
      <c r="BM124" s="12">
        <f>IFERROR(BL124/BL$11,0)</f>
        <v>0.17987723031592731</v>
      </c>
      <c r="BN124" s="13">
        <f>BN57-BN91-BN122</f>
        <v>6656.85</v>
      </c>
      <c r="BO124" s="12">
        <f>IFERROR(BN124/BN$11,0)</f>
        <v>0.16613466769822058</v>
      </c>
      <c r="BP124" s="13">
        <f>BP57-BP91-BP122</f>
        <v>4736.8500000000004</v>
      </c>
      <c r="BQ124" s="12">
        <f>IFERROR(BP124/BP$11,0)</f>
        <v>0.13360551700795398</v>
      </c>
      <c r="BR124" s="13">
        <f>BR57-BR91-BR122</f>
        <v>3878.17</v>
      </c>
      <c r="BS124" s="12">
        <f>IFERROR(BR124/BR$11,0)</f>
        <v>0.1168862834925706</v>
      </c>
      <c r="BT124" s="13">
        <f>BT57-BT91-BT122</f>
        <v>7768.97</v>
      </c>
      <c r="BU124" s="12">
        <f>IFERROR(BT124/BT$11,0)</f>
        <v>0.18209234735731866</v>
      </c>
      <c r="BV124" s="13">
        <f>BV57-BV91-BV122</f>
        <v>4230.4500000000007</v>
      </c>
      <c r="BW124" s="12">
        <f>IFERROR(BV124/BV$11,0)</f>
        <v>0.12355286214953273</v>
      </c>
      <c r="BX124" s="13">
        <f>BX57-BX91-BX122</f>
        <v>5403.5300000000007</v>
      </c>
      <c r="BY124" s="12">
        <f>IFERROR(BX124/BX$11,0)</f>
        <v>0.14495225065722411</v>
      </c>
      <c r="BZ124" s="13">
        <f>BZ57-BZ91-BZ122</f>
        <v>3503.41</v>
      </c>
      <c r="CA124" s="12">
        <f>IFERROR(BZ124/BZ$11,0)</f>
        <v>0.10669417712267024</v>
      </c>
      <c r="CB124" s="13">
        <f>CB57-CB91-CB122</f>
        <v>5243.57</v>
      </c>
      <c r="CC124" s="12">
        <f>IFERROR(CB124/CB$11,0)</f>
        <v>0.14093345159382895</v>
      </c>
      <c r="CD124" s="13">
        <f>CD57-CD91-CD122</f>
        <v>5082.97</v>
      </c>
      <c r="CE124" s="12">
        <f>IFERROR(CD124/CD$11,0)</f>
        <v>0.13609022757697456</v>
      </c>
      <c r="CF124" s="13">
        <f>CF57-CF91-CF122</f>
        <v>5176.8500000000004</v>
      </c>
      <c r="CG124" s="12">
        <f>IFERROR(CF124/CF$11,0)</f>
        <v>0.13544871794871796</v>
      </c>
      <c r="CH124" s="13">
        <f>CH57-CH91-CH122</f>
        <v>5717.7300000000005</v>
      </c>
      <c r="CI124" s="12">
        <f>IFERROR(CH124/CH$11,0)</f>
        <v>0.14603928279525952</v>
      </c>
      <c r="CJ124" s="13">
        <f>CJ57-CJ91-CJ122</f>
        <v>7103.85</v>
      </c>
      <c r="CK124" s="12">
        <f>IFERROR(CJ124/CJ$11,0)</f>
        <v>0.17056062424969989</v>
      </c>
      <c r="CL124" s="13">
        <f>CL57-CL91-CL122</f>
        <v>8567.85</v>
      </c>
      <c r="CM124" s="12">
        <f>IFERROR(CL124/CL$11,0)</f>
        <v>0.19006300051021541</v>
      </c>
      <c r="CN124" s="13">
        <f>CN57-CN91-CN122</f>
        <v>6640.85</v>
      </c>
      <c r="CO124" s="12">
        <f>IFERROR(CN124/CN$11,0)</f>
        <v>0.16106449031068856</v>
      </c>
      <c r="CP124" s="13">
        <f>CP57-CP91-CP122</f>
        <v>6694.09</v>
      </c>
      <c r="CQ124" s="12">
        <f>IFERROR(CP124/CP$11,0)</f>
        <v>0.16902987147438325</v>
      </c>
      <c r="CR124" s="13">
        <f>CR57-CR91-CR122</f>
        <v>3879.8500000000004</v>
      </c>
      <c r="CS124" s="12">
        <f>IFERROR(CR124/CR$11,0)</f>
        <v>0.1178605060907075</v>
      </c>
      <c r="CT124" s="13">
        <f>CT57-CT91-CT122</f>
        <v>5993.09</v>
      </c>
      <c r="CU124" s="12">
        <f>IFERROR(CT124/CT$11,0)</f>
        <v>0.15682559204500851</v>
      </c>
      <c r="CV124" s="13">
        <f>CV57-CV91-CV122</f>
        <v>6444.85</v>
      </c>
      <c r="CW124" s="12">
        <f>IFERROR(CV124/CV$11,0)</f>
        <v>0.16521867309269894</v>
      </c>
      <c r="CX124" s="13">
        <f>CX57-CX91-CX122</f>
        <v>9113.85</v>
      </c>
      <c r="CY124" s="12">
        <f>IFERROR(CX124/CX$11,0)</f>
        <v>0.20214816457801932</v>
      </c>
      <c r="CZ124" s="13">
        <f>CZ57-CZ91-CZ122</f>
        <v>9113.09</v>
      </c>
      <c r="DA124" s="12">
        <f>IFERROR(CZ124/CZ$11,0)</f>
        <v>0.19844282821244258</v>
      </c>
      <c r="DB124" s="13">
        <f>DB57-DB91-DB122</f>
        <v>9349.09</v>
      </c>
      <c r="DC124" s="12">
        <f>IFERROR(DB124/DB$11,0)</f>
        <v>0.20010894691780823</v>
      </c>
      <c r="DD124" s="13">
        <f>DD57-DD91-DD122</f>
        <v>411076.84</v>
      </c>
      <c r="DE124" s="12">
        <f>IFERROR(DD124/DD$11,0)</f>
        <v>0.18382081759484792</v>
      </c>
      <c r="DF124" s="29"/>
    </row>
  </sheetData>
  <mergeCells count="7">
    <mergeCell ref="D8:E8"/>
    <mergeCell ref="DD9:DE9"/>
    <mergeCell ref="B2:DE2"/>
    <mergeCell ref="B3:DE3"/>
    <mergeCell ref="B4:DE4"/>
    <mergeCell ref="B5:DE5"/>
    <mergeCell ref="D7:E7"/>
  </mergeCells>
  <pageMargins left="0.15" right="0.15" top="0.5" bottom="0.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98"/>
  <sheetViews>
    <sheetView showGridLines="0" zoomScale="90" workbookViewId="0">
      <pane xSplit="3" ySplit="9" topLeftCell="D10" activePane="bottomRight" state="frozenSplit"/>
      <selection pane="topRight" activeCell="D1" sqref="D1"/>
      <selection pane="bottomLeft" activeCell="A10" sqref="A10"/>
      <selection pane="bottomRight" activeCell="D10" sqref="D10"/>
    </sheetView>
  </sheetViews>
  <sheetFormatPr defaultRowHeight="15" outlineLevelRow="1" x14ac:dyDescent="0.25"/>
  <cols>
    <col min="1" max="1" width="1.5703125" customWidth="1"/>
    <col min="2" max="2" width="10" customWidth="1"/>
    <col min="3" max="3" width="25.42578125" customWidth="1"/>
    <col min="4" max="4" width="12.7109375" customWidth="1"/>
    <col min="5" max="5" width="9.7109375" customWidth="1"/>
    <col min="6" max="6" width="12.7109375" customWidth="1"/>
    <col min="7" max="7" width="9.7109375" customWidth="1"/>
    <col min="8" max="8" width="2.85546875" customWidth="1"/>
  </cols>
  <sheetData>
    <row r="1" spans="2:8" ht="8.25" customHeight="1" x14ac:dyDescent="0.25"/>
    <row r="2" spans="2:8" ht="21" x14ac:dyDescent="0.35">
      <c r="B2" s="57" t="s">
        <v>2</v>
      </c>
      <c r="C2" s="57"/>
      <c r="D2" s="57"/>
      <c r="E2" s="57"/>
      <c r="F2" s="57"/>
      <c r="G2" s="57"/>
    </row>
    <row r="3" spans="2:8" ht="18.75" x14ac:dyDescent="0.3">
      <c r="B3" s="58" t="e">
        <f ca="1">_xll.OneStop.ReportPlayer.OSRFunctions.OSRGet("d_Entity","Description")</f>
        <v>#NAME?</v>
      </c>
      <c r="C3" s="58"/>
      <c r="D3" s="58"/>
      <c r="E3" s="58"/>
      <c r="F3" s="58"/>
      <c r="G3" s="58"/>
    </row>
    <row r="4" spans="2:8" ht="18.75" x14ac:dyDescent="0.3">
      <c r="B4" s="58" t="e">
        <f ca="1">_xll.OneStop.ReportPlayer.OSRFunctions.OSRGet("d_dim0","Description")</f>
        <v>#NAME?</v>
      </c>
      <c r="C4" s="58"/>
      <c r="D4" s="58"/>
      <c r="E4" s="58"/>
      <c r="F4" s="58"/>
      <c r="G4" s="58"/>
    </row>
    <row r="5" spans="2:8" ht="18.75" x14ac:dyDescent="0.3">
      <c r="B5" s="58" t="e">
        <f ca="1">_xll.OneStop.ReportPlayer.OSRFunctions.OSRGet("d_Scenario","Description")</f>
        <v>#NAME?</v>
      </c>
      <c r="C5" s="58"/>
      <c r="D5" s="58"/>
      <c r="E5" s="58"/>
      <c r="F5" s="58"/>
      <c r="G5" s="58"/>
    </row>
    <row r="6" spans="2:8" hidden="1" x14ac:dyDescent="0.25"/>
    <row r="7" spans="2:8" x14ac:dyDescent="0.25">
      <c r="C7" s="47" t="s">
        <v>30</v>
      </c>
      <c r="D7" s="54" t="e">
        <f ca="1">_xll.OneStop.ReportPlayer.OSRFunctions.OSRGet("Date","FYPeriod")</f>
        <v>#NAME?</v>
      </c>
      <c r="E7" s="54"/>
    </row>
    <row r="8" spans="2:8" x14ac:dyDescent="0.25">
      <c r="C8" s="47" t="s">
        <v>31</v>
      </c>
      <c r="D8" s="54" t="e">
        <f ca="1">_xll.OneStop.ReportPlayer.OSRFunctions.OSRGet("Date","FYWeek")</f>
        <v>#NAME?</v>
      </c>
      <c r="E8" s="54"/>
    </row>
    <row r="9" spans="2:8" ht="21.75" customHeight="1" x14ac:dyDescent="0.25">
      <c r="B9" s="39" t="s">
        <v>0</v>
      </c>
      <c r="C9" s="39" t="s">
        <v>1</v>
      </c>
      <c r="D9" s="27"/>
      <c r="E9" s="25"/>
      <c r="F9" s="55" t="s">
        <v>32</v>
      </c>
      <c r="G9" s="56"/>
      <c r="H9" s="41"/>
    </row>
    <row r="10" spans="2:8" ht="7.5" customHeight="1" x14ac:dyDescent="0.25">
      <c r="D10" s="11"/>
      <c r="E10" s="9"/>
      <c r="F10" s="11"/>
      <c r="G10" s="9"/>
    </row>
    <row r="11" spans="2:8" ht="15.75" thickBot="1" x14ac:dyDescent="0.3">
      <c r="C11" s="46" t="s">
        <v>19</v>
      </c>
      <c r="D11" s="24">
        <f ca="1">IFERROR(_xll.OneStop.ReportPlayer.OSRFunctions.OSRGet("GL_F_Trans","Value1")*-1,0)</f>
        <v>0</v>
      </c>
      <c r="E11" s="18">
        <f ca="1">IFERROR(D11/D11,0)</f>
        <v>0</v>
      </c>
      <c r="F11" s="24" t="e">
        <f ca="1">SUM(_xll.OneStop.ReportPlayer.OSRFunctions.OSRRef(D11))</f>
        <v>#NAME?</v>
      </c>
      <c r="G11" s="18">
        <f ca="1">IFERROR(F11/F11,0)</f>
        <v>0</v>
      </c>
      <c r="H11" s="50"/>
    </row>
    <row r="12" spans="2:8" ht="15.75" outlineLevel="1" thickTop="1" x14ac:dyDescent="0.25">
      <c r="D12" s="23"/>
      <c r="E12" s="9"/>
      <c r="F12" s="23"/>
      <c r="G12" s="9"/>
    </row>
    <row r="13" spans="2:8" outlineLevel="1" x14ac:dyDescent="0.25">
      <c r="B13">
        <v>31005</v>
      </c>
      <c r="C13" t="s">
        <v>33</v>
      </c>
      <c r="D13" s="5">
        <f ca="1">IFERROR(_xll.OneStop.ReportPlayer.OSRFunctions.OSRGet("GL_F_Trans","Value1")*-1,0)</f>
        <v>0</v>
      </c>
      <c r="E13" s="4">
        <f ca="1">IFERROR(D13/D$11,0)</f>
        <v>0</v>
      </c>
      <c r="F13" s="5" t="e">
        <f ca="1">SUM(_xll.OneStop.ReportPlayer.OSRFunctions.OSRRef(D13))</f>
        <v>#NAME?</v>
      </c>
      <c r="G13" s="4">
        <f ca="1">IFERROR(F13/F$11,0)</f>
        <v>0</v>
      </c>
    </row>
    <row r="14" spans="2:8" ht="7.5" customHeight="1" x14ac:dyDescent="0.25">
      <c r="D14" s="7"/>
      <c r="E14" s="6"/>
      <c r="F14" s="7"/>
      <c r="G14" s="6"/>
    </row>
    <row r="15" spans="2:8" x14ac:dyDescent="0.25">
      <c r="B15" s="30"/>
      <c r="C15" s="32" t="s">
        <v>3</v>
      </c>
      <c r="D15" s="3">
        <f ca="1">SUM(D13:D14)</f>
        <v>0</v>
      </c>
      <c r="E15" s="1">
        <f ca="1">IFERROR(D15/D$11,0)</f>
        <v>0</v>
      </c>
      <c r="F15" s="3" t="e">
        <f ca="1">SUM(_xll.OneStop.ReportPlayer.OSRFunctions.OSRRef(D15))</f>
        <v>#NAME?</v>
      </c>
      <c r="G15" s="1">
        <f ca="1">IFERROR(F15/F$11,0)</f>
        <v>0</v>
      </c>
    </row>
    <row r="16" spans="2:8" outlineLevel="1" x14ac:dyDescent="0.25">
      <c r="D16" s="14"/>
      <c r="E16" s="6"/>
      <c r="F16" s="14"/>
      <c r="G16" s="6"/>
    </row>
    <row r="17" spans="2:8" outlineLevel="1" x14ac:dyDescent="0.25">
      <c r="B17" t="e">
        <f ca="1">_xll.OneStop.ReportPlayer.OSRFunctions.OSRGet("d_Account","Code")</f>
        <v>#NAME?</v>
      </c>
      <c r="C17" t="e">
        <f ca="1">_xll.OneStop.ReportPlayer.OSRFunctions.OSRGet("d_Account","Description")</f>
        <v>#NAME?</v>
      </c>
      <c r="D17" s="7">
        <f ca="1">IFERROR(_xll.OneStop.ReportPlayer.OSRFunctions.OSRGet("GL_F_Trans","Value1"),0)</f>
        <v>0</v>
      </c>
      <c r="E17" s="4">
        <f ca="1">IFERROR(D17/D$15,0)</f>
        <v>0</v>
      </c>
      <c r="F17" s="7" t="e">
        <f ca="1">SUM(_xll.OneStop.ReportPlayer.OSRFunctions.OSRRef(D17))</f>
        <v>#NAME?</v>
      </c>
      <c r="G17" s="4">
        <f ca="1">IFERROR(F17/F$15,0)</f>
        <v>0</v>
      </c>
    </row>
    <row r="18" spans="2:8" ht="7.5" customHeight="1" x14ac:dyDescent="0.25">
      <c r="D18" s="7"/>
      <c r="E18" s="6"/>
      <c r="F18" s="7"/>
      <c r="G18" s="6"/>
    </row>
    <row r="19" spans="2:8" x14ac:dyDescent="0.25">
      <c r="B19" s="30"/>
      <c r="C19" s="32" t="s">
        <v>4</v>
      </c>
      <c r="D19" s="3">
        <f ca="1">SUM(D17:D18)</f>
        <v>0</v>
      </c>
      <c r="E19" s="1">
        <f ca="1">IFERROR(D19/D$15,0)</f>
        <v>0</v>
      </c>
      <c r="F19" s="3" t="e">
        <f ca="1">SUM(_xll.OneStop.ReportPlayer.OSRFunctions.OSRRef(D19))</f>
        <v>#NAME?</v>
      </c>
      <c r="G19" s="1">
        <f ca="1">IFERROR(F19/F$15,0)</f>
        <v>0</v>
      </c>
      <c r="H19" s="28"/>
    </row>
    <row r="20" spans="2:8" x14ac:dyDescent="0.25">
      <c r="B20" s="29"/>
      <c r="D20" s="14"/>
      <c r="E20" s="6"/>
      <c r="F20" s="14"/>
      <c r="G20" s="6"/>
    </row>
    <row r="21" spans="2:8" x14ac:dyDescent="0.25">
      <c r="B21" s="29"/>
      <c r="C21" s="42" t="s">
        <v>5</v>
      </c>
      <c r="D21" s="15">
        <f ca="1">D15-D19</f>
        <v>0</v>
      </c>
      <c r="E21" s="1">
        <f ca="1">IFERROR(D21/D$15,0)</f>
        <v>0</v>
      </c>
      <c r="F21" s="15" t="e">
        <f ca="1">SUM(_xll.OneStop.ReportPlayer.OSRFunctions.OSRRef(D21))</f>
        <v>#NAME?</v>
      </c>
      <c r="G21" s="1">
        <f ca="1">IFERROR(F21/F$15,0)</f>
        <v>0</v>
      </c>
      <c r="H21" s="51"/>
    </row>
    <row r="22" spans="2:8" x14ac:dyDescent="0.25">
      <c r="D22" s="11"/>
      <c r="E22" s="9"/>
      <c r="F22" s="11"/>
      <c r="G22" s="9"/>
    </row>
    <row r="23" spans="2:8" outlineLevel="1" x14ac:dyDescent="0.25">
      <c r="B23" t="e">
        <f ca="1">_xll.OneStop.ReportPlayer.OSRFunctions.OSRGet("d_Account","Code")</f>
        <v>#NAME?</v>
      </c>
      <c r="C23" t="e">
        <f ca="1">_xll.OneStop.ReportPlayer.OSRFunctions.OSRGet("d_Account","Description")</f>
        <v>#NAME?</v>
      </c>
      <c r="D23" s="5">
        <f ca="1">IFERROR(_xll.OneStop.ReportPlayer.OSRFunctions.OSRGet("GL_F_Trans","Value1")*-1,0)</f>
        <v>0</v>
      </c>
      <c r="E23" s="4">
        <f ca="1">IFERROR(D23/D$11,0)</f>
        <v>0</v>
      </c>
      <c r="F23" s="5" t="e">
        <f ca="1">SUM(_xll.OneStop.ReportPlayer.OSRFunctions.OSRRef(D23))</f>
        <v>#NAME?</v>
      </c>
      <c r="G23" s="4">
        <f ca="1">IFERROR(F23/F$11,0)</f>
        <v>0</v>
      </c>
    </row>
    <row r="24" spans="2:8" ht="3.95" customHeight="1" x14ac:dyDescent="0.25">
      <c r="D24" s="5"/>
      <c r="E24" s="4"/>
      <c r="F24" s="5"/>
      <c r="G24" s="4"/>
    </row>
    <row r="25" spans="2:8" x14ac:dyDescent="0.25">
      <c r="C25" s="35" t="s">
        <v>24</v>
      </c>
      <c r="D25" s="5">
        <f ca="1">SUM(D23:D24)</f>
        <v>0</v>
      </c>
      <c r="E25" s="4">
        <f t="shared" ref="E25:E26" ca="1" si="0">IFERROR(D25/D$11,0)</f>
        <v>0</v>
      </c>
      <c r="F25" s="5" t="e">
        <f ca="1">SUM(_xll.OneStop.ReportPlayer.OSRFunctions.OSRRef(D25))</f>
        <v>#NAME?</v>
      </c>
      <c r="G25" s="4">
        <f t="shared" ref="G25:G26" ca="1" si="1">IFERROR(F25/F$11,0)</f>
        <v>0</v>
      </c>
    </row>
    <row r="26" spans="2:8" outlineLevel="1" x14ac:dyDescent="0.25">
      <c r="B26" t="e">
        <f ca="1">_xll.OneStop.ReportPlayer.OSRFunctions.OSRGet("d_Account","Code")</f>
        <v>#NAME?</v>
      </c>
      <c r="C26" t="e">
        <f ca="1">_xll.OneStop.ReportPlayer.OSRFunctions.OSRGet("d_Account","Description")</f>
        <v>#NAME?</v>
      </c>
      <c r="D26" s="5">
        <f ca="1">IFERROR(_xll.OneStop.ReportPlayer.OSRFunctions.OSRGet("GL_F_Trans","Value1")*-1,0)</f>
        <v>0</v>
      </c>
      <c r="E26" s="4">
        <f t="shared" ca="1" si="0"/>
        <v>0</v>
      </c>
      <c r="F26" s="5" t="e">
        <f ca="1">SUM(_xll.OneStop.ReportPlayer.OSRFunctions.OSRRef(D26))</f>
        <v>#NAME?</v>
      </c>
      <c r="G26" s="4">
        <f t="shared" ca="1" si="1"/>
        <v>0</v>
      </c>
    </row>
    <row r="27" spans="2:8" ht="3.95" customHeight="1" x14ac:dyDescent="0.25">
      <c r="D27" s="5"/>
      <c r="E27" s="4"/>
      <c r="F27" s="5"/>
      <c r="G27" s="4"/>
    </row>
    <row r="28" spans="2:8" x14ac:dyDescent="0.25">
      <c r="C28" s="35" t="s">
        <v>25</v>
      </c>
      <c r="D28" s="5">
        <f ca="1">SUM(D26:D27)</f>
        <v>0</v>
      </c>
      <c r="E28" s="4">
        <f t="shared" ref="E28:E29" ca="1" si="2">IFERROR(D28/D$11,0)</f>
        <v>0</v>
      </c>
      <c r="F28" s="5" t="e">
        <f ca="1">SUM(_xll.OneStop.ReportPlayer.OSRFunctions.OSRRef(D28))</f>
        <v>#NAME?</v>
      </c>
      <c r="G28" s="4">
        <f t="shared" ref="G28:G29" ca="1" si="3">IFERROR(F28/F$11,0)</f>
        <v>0</v>
      </c>
    </row>
    <row r="29" spans="2:8" outlineLevel="1" x14ac:dyDescent="0.25">
      <c r="B29" t="e">
        <f ca="1">_xll.OneStop.ReportPlayer.OSRFunctions.OSRGet("d_Account","Code")</f>
        <v>#NAME?</v>
      </c>
      <c r="C29" t="e">
        <f ca="1">_xll.OneStop.ReportPlayer.OSRFunctions.OSRGet("d_Account","Description")</f>
        <v>#NAME?</v>
      </c>
      <c r="D29" s="5">
        <f ca="1">IFERROR(_xll.OneStop.ReportPlayer.OSRFunctions.OSRGet("GL_F_Trans","Value1")*-1,0)</f>
        <v>0</v>
      </c>
      <c r="E29" s="4">
        <f t="shared" ca="1" si="2"/>
        <v>0</v>
      </c>
      <c r="F29" s="5" t="e">
        <f ca="1">SUM(_xll.OneStop.ReportPlayer.OSRFunctions.OSRRef(D29))</f>
        <v>#NAME?</v>
      </c>
      <c r="G29" s="4">
        <f t="shared" ca="1" si="3"/>
        <v>0</v>
      </c>
    </row>
    <row r="30" spans="2:8" ht="3.95" customHeight="1" x14ac:dyDescent="0.25">
      <c r="D30" s="5"/>
      <c r="E30" s="4"/>
      <c r="F30" s="5"/>
      <c r="G30" s="4"/>
    </row>
    <row r="31" spans="2:8" x14ac:dyDescent="0.25">
      <c r="C31" s="35" t="s">
        <v>26</v>
      </c>
      <c r="D31" s="5">
        <f ca="1">SUM(D29:D30)</f>
        <v>0</v>
      </c>
      <c r="E31" s="4">
        <f ca="1">IFERROR(D31/D$11,0)</f>
        <v>0</v>
      </c>
      <c r="F31" s="5" t="e">
        <f ca="1">SUM(_xll.OneStop.ReportPlayer.OSRFunctions.OSRRef(D31))</f>
        <v>#NAME?</v>
      </c>
      <c r="G31" s="4">
        <f ca="1">IFERROR(F31/F$11,0)</f>
        <v>0</v>
      </c>
    </row>
    <row r="32" spans="2:8" ht="7.5" customHeight="1" x14ac:dyDescent="0.25">
      <c r="D32" s="5"/>
      <c r="E32" s="2"/>
      <c r="F32" s="5"/>
      <c r="G32" s="2"/>
    </row>
    <row r="33" spans="2:8" x14ac:dyDescent="0.25">
      <c r="B33" s="30"/>
      <c r="C33" s="32" t="s">
        <v>20</v>
      </c>
      <c r="D33" s="3">
        <f ca="1">SUM(D25,D28,D31)</f>
        <v>0</v>
      </c>
      <c r="E33" s="1">
        <f ca="1">IFERROR(D33/D$11,0)</f>
        <v>0</v>
      </c>
      <c r="F33" s="3" t="e">
        <f ca="1">SUM(_xll.OneStop.ReportPlayer.OSRFunctions.OSRRef(D33))</f>
        <v>#NAME?</v>
      </c>
      <c r="G33" s="1">
        <f ca="1">IFERROR(F33/F$11,0)</f>
        <v>0</v>
      </c>
      <c r="H33" s="28"/>
    </row>
    <row r="34" spans="2:8" outlineLevel="1" x14ac:dyDescent="0.25">
      <c r="D34" s="7"/>
      <c r="E34" s="6"/>
      <c r="F34" s="7"/>
      <c r="G34" s="6"/>
    </row>
    <row r="35" spans="2:8" outlineLevel="1" x14ac:dyDescent="0.25">
      <c r="B35" t="e">
        <f ca="1">_xll.OneStop.ReportPlayer.OSRFunctions.OSRGet("d_Account","Code")</f>
        <v>#NAME?</v>
      </c>
      <c r="C35" t="e">
        <f ca="1">_xll.OneStop.ReportPlayer.OSRFunctions.OSRGet("d_Account","Description")</f>
        <v>#NAME?</v>
      </c>
      <c r="D35" s="7">
        <f ca="1">IFERROR(_xll.OneStop.ReportPlayer.OSRFunctions.OSRGet("GL_F_Trans","Value1"),0)</f>
        <v>0</v>
      </c>
      <c r="E35" s="4">
        <f ca="1">IFERROR(D35/D$25,0)</f>
        <v>0</v>
      </c>
      <c r="F35" s="7" t="e">
        <f ca="1">SUM(_xll.OneStop.ReportPlayer.OSRFunctions.OSRRef(D35))</f>
        <v>#NAME?</v>
      </c>
      <c r="G35" s="4">
        <f ca="1">IFERROR(F35/F$25,0)</f>
        <v>0</v>
      </c>
    </row>
    <row r="36" spans="2:8" outlineLevel="1" x14ac:dyDescent="0.25">
      <c r="B36" t="e">
        <f ca="1">_xll.OneStop.ReportPlayer.OSRFunctions.OSRGet("d_Account","Code")</f>
        <v>#NAME?</v>
      </c>
      <c r="C36" t="e">
        <f ca="1">_xll.OneStop.ReportPlayer.OSRFunctions.OSRGet("d_Account","Description")</f>
        <v>#NAME?</v>
      </c>
      <c r="D36" s="7">
        <f ca="1">IFERROR(_xll.OneStop.ReportPlayer.OSRFunctions.OSRGet("GL_F_Trans","Value1"),0)</f>
        <v>0</v>
      </c>
      <c r="E36" s="4">
        <f ca="1">IFERROR(D36/D$28,0)</f>
        <v>0</v>
      </c>
      <c r="F36" s="7" t="e">
        <f ca="1">SUM(_xll.OneStop.ReportPlayer.OSRFunctions.OSRRef(D36))</f>
        <v>#NAME?</v>
      </c>
      <c r="G36" s="4">
        <f ca="1">IFERROR(F36/F$28,0)</f>
        <v>0</v>
      </c>
    </row>
    <row r="37" spans="2:8" outlineLevel="1" x14ac:dyDescent="0.25">
      <c r="B37" t="e">
        <f ca="1">_xll.OneStop.ReportPlayer.OSRFunctions.OSRGet("d_Account","Code")</f>
        <v>#NAME?</v>
      </c>
      <c r="C37" t="e">
        <f ca="1">_xll.OneStop.ReportPlayer.OSRFunctions.OSRGet("d_Account","Description")</f>
        <v>#NAME?</v>
      </c>
      <c r="D37" s="7">
        <f ca="1">IFERROR(_xll.OneStop.ReportPlayer.OSRFunctions.OSRGet("GL_F_Trans","Value1"),0)</f>
        <v>0</v>
      </c>
      <c r="E37" s="4">
        <f ca="1">IFERROR(D37/D$31,0)</f>
        <v>0</v>
      </c>
      <c r="F37" s="7" t="e">
        <f ca="1">SUM(_xll.OneStop.ReportPlayer.OSRFunctions.OSRRef(D37))</f>
        <v>#NAME?</v>
      </c>
      <c r="G37" s="4">
        <f ca="1">IFERROR(F37/F$31,0)</f>
        <v>0</v>
      </c>
    </row>
    <row r="38" spans="2:8" ht="7.5" customHeight="1" x14ac:dyDescent="0.25">
      <c r="D38" s="7"/>
      <c r="E38" s="6"/>
      <c r="F38" s="7"/>
      <c r="G38" s="6"/>
    </row>
    <row r="39" spans="2:8" x14ac:dyDescent="0.25">
      <c r="B39" s="30"/>
      <c r="C39" s="32" t="s">
        <v>6</v>
      </c>
      <c r="D39" s="3">
        <f ca="1">SUM(D35:D38)</f>
        <v>0</v>
      </c>
      <c r="E39" s="1">
        <f ca="1">IFERROR(D39/D$33,0)</f>
        <v>0</v>
      </c>
      <c r="F39" s="3" t="e">
        <f ca="1">SUM(_xll.OneStop.ReportPlayer.OSRFunctions.OSRRef(D39))</f>
        <v>#NAME?</v>
      </c>
      <c r="G39" s="1">
        <f ca="1">IFERROR(F39/F$33,0)</f>
        <v>0</v>
      </c>
      <c r="H39" s="28"/>
    </row>
    <row r="40" spans="2:8" x14ac:dyDescent="0.25">
      <c r="B40" s="29"/>
      <c r="D40" s="7"/>
      <c r="E40" s="6"/>
      <c r="F40" s="7"/>
      <c r="G40" s="6"/>
    </row>
    <row r="41" spans="2:8" x14ac:dyDescent="0.25">
      <c r="B41" s="29"/>
      <c r="C41" s="40" t="s">
        <v>7</v>
      </c>
      <c r="D41" s="15">
        <f ca="1">D33-D39</f>
        <v>0</v>
      </c>
      <c r="E41" s="1">
        <f ca="1">IFERROR(D41/D$33,0)</f>
        <v>0</v>
      </c>
      <c r="F41" s="15" t="e">
        <f ca="1">SUM(_xll.OneStop.ReportPlayer.OSRFunctions.OSRRef(D41))</f>
        <v>#NAME?</v>
      </c>
      <c r="G41" s="1">
        <f ca="1">IFERROR(F41/F$33,0)</f>
        <v>0</v>
      </c>
      <c r="H41" s="28"/>
    </row>
    <row r="42" spans="2:8" x14ac:dyDescent="0.25">
      <c r="B42" s="29"/>
      <c r="C42" s="52"/>
      <c r="D42" s="22"/>
      <c r="E42" s="10"/>
      <c r="F42" s="22"/>
      <c r="G42" s="10"/>
      <c r="H42" s="28"/>
    </row>
    <row r="43" spans="2:8" outlineLevel="1" x14ac:dyDescent="0.25">
      <c r="B43" s="45" t="e">
        <f ca="1">_xll.OneStop.ReportPlayer.OSRFunctions.OSRGet("d_Account","Code")</f>
        <v>#NAME?</v>
      </c>
      <c r="C43" t="e">
        <f ca="1">_xll.OneStop.ReportPlayer.OSRFunctions.OSRGet("d_Account","Description")</f>
        <v>#NAME?</v>
      </c>
      <c r="D43" s="7">
        <f ca="1">IFERROR(_xll.OneStop.ReportPlayer.OSRFunctions.OSRGet("GL_F_Trans","Value1")*-1,0)</f>
        <v>0</v>
      </c>
      <c r="E43" s="4">
        <f ca="1">IFERROR(D43/D$31,0)</f>
        <v>0</v>
      </c>
      <c r="F43" s="7" t="e">
        <f ca="1">SUM(_xll.OneStop.ReportPlayer.OSRFunctions.OSRRef(D43))</f>
        <v>#NAME?</v>
      </c>
      <c r="G43" s="4">
        <f ca="1">IFERROR(F43/F$31,0)</f>
        <v>0</v>
      </c>
    </row>
    <row r="44" spans="2:8" ht="7.5" customHeight="1" x14ac:dyDescent="0.25">
      <c r="D44" s="7"/>
      <c r="E44" s="6"/>
      <c r="F44" s="7"/>
      <c r="G44" s="6"/>
    </row>
    <row r="45" spans="2:8" x14ac:dyDescent="0.25">
      <c r="B45" s="29"/>
      <c r="C45" s="32" t="s">
        <v>27</v>
      </c>
      <c r="D45" s="3">
        <f ca="1">SUM(D43:D44)</f>
        <v>0</v>
      </c>
      <c r="E45" s="1">
        <f ca="1">IFERROR(D45/D$33,0)</f>
        <v>0</v>
      </c>
      <c r="F45" s="3" t="e">
        <f ca="1">SUM(_xll.OneStop.ReportPlayer.OSRFunctions.OSRRef(D45))</f>
        <v>#NAME?</v>
      </c>
      <c r="G45" s="1">
        <f ca="1">IFERROR(F45/F$33,0)</f>
        <v>0</v>
      </c>
      <c r="H45" s="28"/>
    </row>
    <row r="46" spans="2:8" x14ac:dyDescent="0.25">
      <c r="B46" s="29"/>
      <c r="C46" s="36"/>
      <c r="D46" s="8"/>
      <c r="E46" s="10"/>
      <c r="F46" s="8"/>
      <c r="G46" s="10"/>
      <c r="H46" s="28"/>
    </row>
    <row r="47" spans="2:8" outlineLevel="1" x14ac:dyDescent="0.25">
      <c r="B47" t="e">
        <f ca="1">_xll.OneStop.ReportPlayer.OSRFunctions.OSRGet("d_Account","Code")</f>
        <v>#NAME?</v>
      </c>
      <c r="C47" t="e">
        <f ca="1">_xll.OneStop.ReportPlayer.OSRFunctions.OSRGet("d_Account","Description")</f>
        <v>#NAME?</v>
      </c>
      <c r="D47" s="7">
        <f ca="1">IFERROR(_xll.OneStop.ReportPlayer.OSRFunctions.OSRGet("GL_F_Trans","Value1"),0)</f>
        <v>0</v>
      </c>
      <c r="E47" s="4">
        <f ca="1">IFERROR(D47/D$31,0)</f>
        <v>0</v>
      </c>
      <c r="F47" s="7" t="e">
        <f ca="1">SUM(_xll.OneStop.ReportPlayer.OSRFunctions.OSRRef(D47))</f>
        <v>#NAME?</v>
      </c>
      <c r="G47" s="4">
        <f ca="1">IFERROR(F47/F$31,0)</f>
        <v>0</v>
      </c>
    </row>
    <row r="48" spans="2:8" ht="7.5" customHeight="1" x14ac:dyDescent="0.25">
      <c r="D48" s="7"/>
      <c r="E48" s="6"/>
      <c r="F48" s="7"/>
      <c r="G48" s="6"/>
    </row>
    <row r="49" spans="2:8" x14ac:dyDescent="0.25">
      <c r="B49" s="29"/>
      <c r="C49" s="32" t="s">
        <v>28</v>
      </c>
      <c r="D49" s="3">
        <f ca="1">SUM(D47:D48)</f>
        <v>0</v>
      </c>
      <c r="E49" s="1">
        <f ca="1">IFERROR(D49/D$33,0)</f>
        <v>0</v>
      </c>
      <c r="F49" s="3" t="e">
        <f ca="1">SUM(_xll.OneStop.ReportPlayer.OSRFunctions.OSRRef(D49))</f>
        <v>#NAME?</v>
      </c>
      <c r="G49" s="1">
        <f ca="1">IFERROR(F49/F$33,0)</f>
        <v>0</v>
      </c>
      <c r="H49" s="28"/>
    </row>
    <row r="50" spans="2:8" x14ac:dyDescent="0.25">
      <c r="B50" s="29"/>
      <c r="C50" s="36"/>
      <c r="D50" s="8"/>
      <c r="E50" s="10"/>
      <c r="F50" s="8"/>
      <c r="G50" s="10"/>
      <c r="H50" s="28"/>
    </row>
    <row r="51" spans="2:8" x14ac:dyDescent="0.25">
      <c r="B51" s="29"/>
      <c r="C51" s="36"/>
      <c r="D51" s="8"/>
      <c r="E51" s="10"/>
      <c r="F51" s="8"/>
      <c r="G51" s="10"/>
      <c r="H51" s="28"/>
    </row>
    <row r="52" spans="2:8" x14ac:dyDescent="0.25">
      <c r="B52" s="29"/>
      <c r="C52" s="32" t="s">
        <v>29</v>
      </c>
      <c r="D52" s="3">
        <f ca="1">D45-D49</f>
        <v>0</v>
      </c>
      <c r="E52" s="1">
        <f ca="1">IFERROR(D52/D$33,0)</f>
        <v>0</v>
      </c>
      <c r="F52" s="3" t="e">
        <f ca="1">SUM(_xll.OneStop.ReportPlayer.OSRFunctions.OSRRef(D52))</f>
        <v>#NAME?</v>
      </c>
      <c r="G52" s="1">
        <f ca="1">IFERROR(F52/F$33,0)</f>
        <v>0</v>
      </c>
      <c r="H52" s="28"/>
    </row>
    <row r="53" spans="2:8" x14ac:dyDescent="0.25">
      <c r="B53" s="29"/>
      <c r="C53" s="36"/>
      <c r="D53" s="8"/>
      <c r="E53" s="10"/>
      <c r="F53" s="8"/>
      <c r="G53" s="10"/>
      <c r="H53" s="28"/>
    </row>
    <row r="54" spans="2:8" x14ac:dyDescent="0.25">
      <c r="B54" s="29"/>
      <c r="C54" s="36"/>
      <c r="D54" s="8"/>
      <c r="E54" s="10"/>
      <c r="F54" s="8"/>
      <c r="G54" s="10"/>
      <c r="H54" s="28"/>
    </row>
    <row r="55" spans="2:8" x14ac:dyDescent="0.25">
      <c r="B55" s="29"/>
      <c r="C55" s="44" t="s">
        <v>22</v>
      </c>
      <c r="D55" s="20">
        <f ca="1">SUM(D39,D19,D49)</f>
        <v>0</v>
      </c>
      <c r="E55" s="4">
        <f t="shared" ref="E55:E56" ca="1" si="4">IFERROR(D55/D$11,0)</f>
        <v>0</v>
      </c>
      <c r="F55" s="20" t="e">
        <f ca="1">SUM(_xll.OneStop.ReportPlayer.OSRFunctions.OSRRef(D55))</f>
        <v>#NAME?</v>
      </c>
      <c r="G55" s="4">
        <f t="shared" ref="G55:G56" ca="1" si="5">IFERROR(F55/F$11,0)</f>
        <v>0</v>
      </c>
    </row>
    <row r="56" spans="2:8" ht="15.75" collapsed="1" thickBot="1" x14ac:dyDescent="0.3">
      <c r="B56" s="29"/>
      <c r="C56" s="34" t="s">
        <v>23</v>
      </c>
      <c r="D56" s="19">
        <f ca="1">D11-D55</f>
        <v>0</v>
      </c>
      <c r="E56" s="12">
        <f t="shared" ca="1" si="4"/>
        <v>0</v>
      </c>
      <c r="F56" s="19" t="e">
        <f ca="1">SUM(_xll.OneStop.ReportPlayer.OSRFunctions.OSRRef(D56))</f>
        <v>#NAME?</v>
      </c>
      <c r="G56" s="12">
        <f t="shared" ca="1" si="5"/>
        <v>0</v>
      </c>
      <c r="H56" s="53"/>
    </row>
    <row r="57" spans="2:8" ht="15.75" thickTop="1" x14ac:dyDescent="0.25">
      <c r="B57" s="29"/>
      <c r="C57" s="29"/>
      <c r="D57" s="26"/>
      <c r="E57" s="21"/>
      <c r="F57" s="43"/>
      <c r="G57" s="21"/>
    </row>
    <row r="58" spans="2:8" x14ac:dyDescent="0.25">
      <c r="D58" s="11"/>
      <c r="E58" s="9"/>
      <c r="F58" s="11"/>
      <c r="G58" s="9"/>
    </row>
    <row r="59" spans="2:8" ht="18.75" x14ac:dyDescent="0.3">
      <c r="B59" s="38" t="s">
        <v>15</v>
      </c>
      <c r="D59" s="11"/>
      <c r="E59" s="9"/>
      <c r="F59" s="11"/>
      <c r="G59" s="9"/>
    </row>
    <row r="60" spans="2:8" outlineLevel="1" x14ac:dyDescent="0.25">
      <c r="D60" s="11"/>
      <c r="E60" s="9"/>
      <c r="F60" s="11"/>
      <c r="G60" s="9"/>
    </row>
    <row r="61" spans="2:8" outlineLevel="1" x14ac:dyDescent="0.25">
      <c r="B61" t="e">
        <f ca="1">_xll.OneStop.ReportPlayer.OSRFunctions.OSRGet("d_Account","Code")</f>
        <v>#NAME?</v>
      </c>
      <c r="C61" t="e">
        <f ca="1">_xll.OneStop.ReportPlayer.OSRFunctions.OSRGet("d_Account","Description")</f>
        <v>#NAME?</v>
      </c>
      <c r="D61" s="5">
        <f ca="1">IFERROR(_xll.OneStop.ReportPlayer.OSRFunctions.OSRGet("GL_F_Trans","Value1"),0)</f>
        <v>0</v>
      </c>
      <c r="E61" s="4">
        <f ca="1">IFERROR(D61/D$15,0)</f>
        <v>0</v>
      </c>
      <c r="F61" s="5" t="e">
        <f ca="1">SUM(_xll.OneStop.ReportPlayer.OSRFunctions.OSRRef(D61))</f>
        <v>#NAME?</v>
      </c>
      <c r="G61" s="4">
        <f ca="1">IFERROR(F61/F$15,0)</f>
        <v>0</v>
      </c>
      <c r="H61" s="28"/>
    </row>
    <row r="62" spans="2:8" ht="7.5" customHeight="1" x14ac:dyDescent="0.25">
      <c r="D62" s="5"/>
      <c r="E62" s="2"/>
      <c r="F62" s="5"/>
      <c r="G62" s="2"/>
      <c r="H62" s="28"/>
    </row>
    <row r="63" spans="2:8" x14ac:dyDescent="0.25">
      <c r="B63" s="30"/>
      <c r="C63" s="31" t="s">
        <v>8</v>
      </c>
      <c r="D63" s="3">
        <f ca="1">SUM(D61:D62)</f>
        <v>0</v>
      </c>
      <c r="E63" s="1">
        <f ca="1">IFERROR(D63/D$15,0)</f>
        <v>0</v>
      </c>
      <c r="F63" s="3" t="e">
        <f ca="1">SUM(_xll.OneStop.ReportPlayer.OSRFunctions.OSRRef(D63))</f>
        <v>#NAME?</v>
      </c>
      <c r="G63" s="1">
        <f ca="1">IFERROR(F63/F$15,0)</f>
        <v>0</v>
      </c>
      <c r="H63" s="28"/>
    </row>
    <row r="64" spans="2:8" outlineLevel="1" x14ac:dyDescent="0.25">
      <c r="D64" s="5"/>
      <c r="E64" s="2"/>
      <c r="F64" s="5"/>
      <c r="G64" s="2"/>
      <c r="H64" s="28"/>
    </row>
    <row r="65" spans="2:8" outlineLevel="1" x14ac:dyDescent="0.25">
      <c r="B65" t="e">
        <f ca="1">_xll.OneStop.ReportPlayer.OSRFunctions.OSRGet("d_Account","Code")</f>
        <v>#NAME?</v>
      </c>
      <c r="C65" t="e">
        <f ca="1">_xll.OneStop.ReportPlayer.OSRFunctions.OSRGet("d_Account","Description")</f>
        <v>#NAME?</v>
      </c>
      <c r="D65" s="5">
        <f ca="1">IFERROR(_xll.OneStop.ReportPlayer.OSRFunctions.OSRGet("GL_F_Trans","Value1"),0)</f>
        <v>0</v>
      </c>
      <c r="E65" s="4">
        <f ca="1">IFERROR(D65/D$11,0)</f>
        <v>0</v>
      </c>
      <c r="F65" s="5" t="e">
        <f ca="1">SUM(_xll.OneStop.ReportPlayer.OSRFunctions.OSRRef(D65))</f>
        <v>#NAME?</v>
      </c>
      <c r="G65" s="4">
        <f ca="1">IFERROR(F65/F$11,0)</f>
        <v>0</v>
      </c>
      <c r="H65" s="28"/>
    </row>
    <row r="66" spans="2:8" ht="7.5" customHeight="1" x14ac:dyDescent="0.25">
      <c r="D66" s="5"/>
      <c r="E66" s="2"/>
      <c r="F66" s="5"/>
      <c r="G66" s="2"/>
      <c r="H66" s="28"/>
    </row>
    <row r="67" spans="2:8" x14ac:dyDescent="0.25">
      <c r="B67" s="30"/>
      <c r="C67" s="31" t="s">
        <v>9</v>
      </c>
      <c r="D67" s="3">
        <f ca="1">SUM(D65:D66)</f>
        <v>0</v>
      </c>
      <c r="E67" s="1">
        <f ca="1">IFERROR(D67/D$11,0)</f>
        <v>0</v>
      </c>
      <c r="F67" s="3" t="e">
        <f ca="1">SUM(_xll.OneStop.ReportPlayer.OSRFunctions.OSRRef(D67))</f>
        <v>#NAME?</v>
      </c>
      <c r="G67" s="1">
        <f ca="1">IFERROR(F67/F$11,0)</f>
        <v>0</v>
      </c>
      <c r="H67" s="28"/>
    </row>
    <row r="68" spans="2:8" s="29" customFormat="1" outlineLevel="1" x14ac:dyDescent="0.25">
      <c r="D68" s="5"/>
      <c r="E68" s="2"/>
      <c r="F68" s="5"/>
      <c r="G68" s="2"/>
      <c r="H68" s="33"/>
    </row>
    <row r="69" spans="2:8" outlineLevel="1" x14ac:dyDescent="0.25">
      <c r="B69" t="e">
        <f ca="1">_xll.OneStop.ReportPlayer.OSRFunctions.OSRGet("d_Account","Code")</f>
        <v>#NAME?</v>
      </c>
      <c r="C69" t="e">
        <f ca="1">_xll.OneStop.ReportPlayer.OSRFunctions.OSRGet("d_Account","Description")</f>
        <v>#NAME?</v>
      </c>
      <c r="D69" s="5">
        <f ca="1">IFERROR(_xll.OneStop.ReportPlayer.OSRFunctions.OSRGet("GL_F_Trans","Value1"),0)</f>
        <v>0</v>
      </c>
      <c r="E69" s="4">
        <f ca="1">IFERROR(D69/D$11,0)</f>
        <v>0</v>
      </c>
      <c r="F69" s="5" t="e">
        <f ca="1">SUM(_xll.OneStop.ReportPlayer.OSRFunctions.OSRRef(D69))</f>
        <v>#NAME?</v>
      </c>
      <c r="G69" s="4">
        <f ca="1">IFERROR(F69/F$11,0)</f>
        <v>0</v>
      </c>
      <c r="H69" s="28"/>
    </row>
    <row r="70" spans="2:8" ht="7.5" customHeight="1" x14ac:dyDescent="0.25">
      <c r="D70" s="5"/>
      <c r="E70" s="2"/>
      <c r="F70" s="5"/>
      <c r="G70" s="2"/>
      <c r="H70" s="28"/>
    </row>
    <row r="71" spans="2:8" x14ac:dyDescent="0.25">
      <c r="B71" s="30"/>
      <c r="C71" s="31" t="s">
        <v>11</v>
      </c>
      <c r="D71" s="3">
        <f ca="1">SUM(D69:D70)</f>
        <v>0</v>
      </c>
      <c r="E71" s="1">
        <f ca="1">IFERROR(D71/D$11,0)</f>
        <v>0</v>
      </c>
      <c r="F71" s="3" t="e">
        <f ca="1">SUM(_xll.OneStop.ReportPlayer.OSRFunctions.OSRRef(D71))</f>
        <v>#NAME?</v>
      </c>
      <c r="G71" s="1">
        <f ca="1">IFERROR(F71/F$11,0)</f>
        <v>0</v>
      </c>
      <c r="H71" s="28"/>
    </row>
    <row r="72" spans="2:8" s="29" customFormat="1" outlineLevel="1" x14ac:dyDescent="0.25">
      <c r="D72" s="5"/>
      <c r="E72" s="2"/>
      <c r="F72" s="5"/>
      <c r="G72" s="2"/>
      <c r="H72" s="33"/>
    </row>
    <row r="73" spans="2:8" outlineLevel="1" x14ac:dyDescent="0.25">
      <c r="B73" t="e">
        <f ca="1">_xll.OneStop.ReportPlayer.OSRFunctions.OSRGet("d_Account","Code")</f>
        <v>#NAME?</v>
      </c>
      <c r="C73" t="e">
        <f ca="1">_xll.OneStop.ReportPlayer.OSRFunctions.OSRGet("d_Account","Description")</f>
        <v>#NAME?</v>
      </c>
      <c r="D73" s="5">
        <f ca="1">IFERROR(_xll.OneStop.ReportPlayer.OSRFunctions.OSRGet("GL_F_Trans","Value1"),0)</f>
        <v>0</v>
      </c>
      <c r="E73" s="4">
        <f ca="1">IFERROR(D73/D$11,0)</f>
        <v>0</v>
      </c>
      <c r="F73" s="5"/>
      <c r="G73" s="4">
        <f ca="1">IFERROR(F73/F$11,0)</f>
        <v>0</v>
      </c>
      <c r="H73" s="28"/>
    </row>
    <row r="74" spans="2:8" ht="7.5" customHeight="1" x14ac:dyDescent="0.25">
      <c r="D74" s="5"/>
      <c r="E74" s="2"/>
      <c r="F74" s="5"/>
      <c r="G74" s="2"/>
      <c r="H74" s="28"/>
    </row>
    <row r="75" spans="2:8" x14ac:dyDescent="0.25">
      <c r="B75" s="30"/>
      <c r="C75" s="31" t="s">
        <v>12</v>
      </c>
      <c r="D75" s="3">
        <f ca="1">SUM(D73:D74)</f>
        <v>0</v>
      </c>
      <c r="E75" s="1">
        <f ca="1">IFERROR(D75/D$11,0)</f>
        <v>0</v>
      </c>
      <c r="F75" s="3" t="e">
        <f ca="1">SUM(_xll.OneStop.ReportPlayer.OSRFunctions.OSRRef(D75))</f>
        <v>#NAME?</v>
      </c>
      <c r="G75" s="1">
        <f ca="1">IFERROR(F75/F$11,0)</f>
        <v>0</v>
      </c>
      <c r="H75" s="28"/>
    </row>
    <row r="76" spans="2:8" s="29" customFormat="1" outlineLevel="1" x14ac:dyDescent="0.25">
      <c r="D76" s="5"/>
      <c r="E76" s="2"/>
      <c r="F76" s="5"/>
      <c r="G76" s="2"/>
      <c r="H76" s="33"/>
    </row>
    <row r="77" spans="2:8" outlineLevel="1" x14ac:dyDescent="0.25">
      <c r="B77" t="e">
        <f ca="1">_xll.OneStop.ReportPlayer.OSRFunctions.OSRGet("d_Account","Code")</f>
        <v>#NAME?</v>
      </c>
      <c r="C77" t="e">
        <f ca="1">_xll.OneStop.ReportPlayer.OSRFunctions.OSRGet("d_Account","Description")</f>
        <v>#NAME?</v>
      </c>
      <c r="D77" s="5">
        <f ca="1">IFERROR(_xll.OneStop.ReportPlayer.OSRFunctions.OSRGet("GL_F_Trans","Value1"),0)</f>
        <v>0</v>
      </c>
      <c r="E77" s="4">
        <f ca="1">IFERROR(D77/D$11,0)</f>
        <v>0</v>
      </c>
      <c r="F77" s="5"/>
      <c r="G77" s="4">
        <f ca="1">IFERROR(F77/F$11,0)</f>
        <v>0</v>
      </c>
      <c r="H77" s="28"/>
    </row>
    <row r="78" spans="2:8" ht="7.5" customHeight="1" x14ac:dyDescent="0.25">
      <c r="D78" s="5"/>
      <c r="E78" s="2"/>
      <c r="F78" s="5"/>
      <c r="G78" s="2"/>
      <c r="H78" s="28"/>
    </row>
    <row r="79" spans="2:8" x14ac:dyDescent="0.25">
      <c r="B79" s="30"/>
      <c r="C79" s="31" t="s">
        <v>18</v>
      </c>
      <c r="D79" s="3">
        <f ca="1">SUM(D77:D78)</f>
        <v>0</v>
      </c>
      <c r="E79" s="1">
        <f ca="1">IFERROR(D79/D$11,0)</f>
        <v>0</v>
      </c>
      <c r="F79" s="3" t="e">
        <f ca="1">SUM(_xll.OneStop.ReportPlayer.OSRFunctions.OSRRef(D79))</f>
        <v>#NAME?</v>
      </c>
      <c r="G79" s="1">
        <f ca="1">IFERROR(F79/F$11,0)</f>
        <v>0</v>
      </c>
      <c r="H79" s="28"/>
    </row>
    <row r="80" spans="2:8" s="29" customFormat="1" outlineLevel="1" x14ac:dyDescent="0.25">
      <c r="D80" s="5"/>
      <c r="E80" s="2"/>
      <c r="F80" s="5"/>
      <c r="G80" s="2"/>
      <c r="H80" s="33"/>
    </row>
    <row r="81" spans="2:8" outlineLevel="1" x14ac:dyDescent="0.25">
      <c r="B81" t="e">
        <f ca="1">_xll.OneStop.ReportPlayer.OSRFunctions.OSRGet("d_Account","Code")</f>
        <v>#NAME?</v>
      </c>
      <c r="C81" t="e">
        <f ca="1">_xll.OneStop.ReportPlayer.OSRFunctions.OSRGet("d_Account","Description")</f>
        <v>#NAME?</v>
      </c>
      <c r="D81" s="5">
        <f ca="1">IFERROR(_xll.OneStop.ReportPlayer.OSRFunctions.OSRGet("GL_F_Trans","Value1"),0)</f>
        <v>0</v>
      </c>
      <c r="E81" s="4">
        <f ca="1">IFERROR(D81/D$11,0)</f>
        <v>0</v>
      </c>
      <c r="F81" s="5" t="e">
        <f ca="1">SUM(_xll.OneStop.ReportPlayer.OSRFunctions.OSRRef(D81))</f>
        <v>#NAME?</v>
      </c>
      <c r="G81" s="4">
        <f ca="1">IFERROR(F81/F$11,0)</f>
        <v>0</v>
      </c>
      <c r="H81" s="28"/>
    </row>
    <row r="82" spans="2:8" ht="7.5" customHeight="1" x14ac:dyDescent="0.25">
      <c r="D82" s="5"/>
      <c r="E82" s="2"/>
      <c r="F82" s="5"/>
      <c r="G82" s="2"/>
      <c r="H82" s="28"/>
    </row>
    <row r="83" spans="2:8" x14ac:dyDescent="0.25">
      <c r="B83" s="30"/>
      <c r="C83" s="31" t="s">
        <v>10</v>
      </c>
      <c r="D83" s="3">
        <f ca="1">SUM(D81:D82)</f>
        <v>0</v>
      </c>
      <c r="E83" s="1">
        <f ca="1">IFERROR(D83/D$11,0)</f>
        <v>0</v>
      </c>
      <c r="F83" s="3" t="e">
        <f ca="1">SUM(_xll.OneStop.ReportPlayer.OSRFunctions.OSRRef(D83))</f>
        <v>#NAME?</v>
      </c>
      <c r="G83" s="1">
        <f ca="1">IFERROR(F83/F$11,0)</f>
        <v>0</v>
      </c>
      <c r="H83" s="28"/>
    </row>
    <row r="84" spans="2:8" s="29" customFormat="1" outlineLevel="1" x14ac:dyDescent="0.25">
      <c r="B84" s="30"/>
      <c r="C84" s="37"/>
      <c r="D84" s="8"/>
      <c r="E84" s="16"/>
      <c r="F84" s="8"/>
      <c r="G84" s="16"/>
      <c r="H84" s="33"/>
    </row>
    <row r="85" spans="2:8" outlineLevel="1" x14ac:dyDescent="0.25">
      <c r="B85" t="e">
        <f ca="1">_xll.OneStop.ReportPlayer.OSRFunctions.OSRGet("d_Account","Code")</f>
        <v>#NAME?</v>
      </c>
      <c r="C85" t="e">
        <f ca="1">_xll.OneStop.ReportPlayer.OSRFunctions.OSRGet("d_Account","Description")</f>
        <v>#NAME?</v>
      </c>
      <c r="D85" s="5">
        <f ca="1">IFERROR(_xll.OneStop.ReportPlayer.OSRFunctions.OSRGet("GL_F_Trans","Value1"),0)</f>
        <v>0</v>
      </c>
      <c r="E85" s="4">
        <f ca="1">IFERROR(D85/D$11,0)</f>
        <v>0</v>
      </c>
      <c r="F85" s="5" t="e">
        <f ca="1">SUM(_xll.OneStop.ReportPlayer.OSRFunctions.OSRRef(D85))</f>
        <v>#NAME?</v>
      </c>
      <c r="G85" s="4">
        <f ca="1">IFERROR(F85/F$11,0)</f>
        <v>0</v>
      </c>
      <c r="H85" s="28"/>
    </row>
    <row r="86" spans="2:8" ht="7.5" customHeight="1" x14ac:dyDescent="0.25">
      <c r="D86" s="5"/>
      <c r="E86" s="2"/>
      <c r="F86" s="5"/>
      <c r="G86" s="2"/>
      <c r="H86" s="28"/>
    </row>
    <row r="87" spans="2:8" x14ac:dyDescent="0.25">
      <c r="B87" s="30"/>
      <c r="C87" s="31" t="s">
        <v>17</v>
      </c>
      <c r="D87" s="3">
        <f ca="1">SUM(D85:D86)</f>
        <v>0</v>
      </c>
      <c r="E87" s="1">
        <f ca="1">IFERROR(D87/D$11,0)</f>
        <v>0</v>
      </c>
      <c r="F87" s="3" t="e">
        <f ca="1">SUM(_xll.OneStop.ReportPlayer.OSRFunctions.OSRRef(D87))</f>
        <v>#NAME?</v>
      </c>
      <c r="G87" s="1">
        <f ca="1">IFERROR(F87/F$11,0)</f>
        <v>0</v>
      </c>
      <c r="H87" s="28"/>
    </row>
    <row r="88" spans="2:8" s="29" customFormat="1" x14ac:dyDescent="0.25">
      <c r="D88" s="5"/>
      <c r="E88" s="2"/>
      <c r="F88" s="5"/>
      <c r="G88" s="2"/>
      <c r="H88" s="33"/>
    </row>
    <row r="89" spans="2:8" collapsed="1" x14ac:dyDescent="0.25">
      <c r="C89" s="34" t="s">
        <v>13</v>
      </c>
      <c r="D89" s="13">
        <f ca="1">SUM(D83,D75,D71,D67,D63,D87,D79)</f>
        <v>0</v>
      </c>
      <c r="E89" s="12">
        <f ca="1">IFERROR(D89/D$11,0)</f>
        <v>0</v>
      </c>
      <c r="F89" s="13" t="e">
        <f ca="1">SUM(F83,F75,F71,F67,F63,F87,F79)</f>
        <v>#NAME?</v>
      </c>
      <c r="G89" s="12">
        <f ca="1">IFERROR(F89/F$11,0)</f>
        <v>0</v>
      </c>
      <c r="H89" s="48"/>
    </row>
    <row r="90" spans="2:8" x14ac:dyDescent="0.25">
      <c r="D90" s="5"/>
      <c r="E90" s="2"/>
      <c r="F90" s="5"/>
      <c r="G90" s="2"/>
      <c r="H90" s="28"/>
    </row>
    <row r="91" spans="2:8" ht="18.75" x14ac:dyDescent="0.3">
      <c r="B91" s="38" t="s">
        <v>14</v>
      </c>
      <c r="D91" s="5"/>
      <c r="E91" s="2"/>
      <c r="F91" s="5"/>
      <c r="G91" s="2"/>
      <c r="H91" s="28"/>
    </row>
    <row r="92" spans="2:8" outlineLevel="1" x14ac:dyDescent="0.25">
      <c r="D92" s="5"/>
      <c r="E92" s="2"/>
      <c r="F92" s="5"/>
      <c r="G92" s="2"/>
      <c r="H92" s="28"/>
    </row>
    <row r="93" spans="2:8" outlineLevel="1" x14ac:dyDescent="0.25">
      <c r="B93" t="e">
        <f ca="1">_xll.OneStop.ReportPlayer.OSRFunctions.OSRGet("d_Account","Code")</f>
        <v>#NAME?</v>
      </c>
      <c r="C93" t="e">
        <f ca="1">_xll.OneStop.ReportPlayer.OSRFunctions.OSRGet("d_Account","Description")</f>
        <v>#NAME?</v>
      </c>
      <c r="D93" s="5">
        <f ca="1">IFERROR(_xll.OneStop.ReportPlayer.OSRFunctions.OSRGet("GL_F_Trans","Value1"),0)</f>
        <v>0</v>
      </c>
      <c r="E93" s="4">
        <f t="shared" ref="E93:E94" ca="1" si="6">IFERROR(D93/D$11,0)</f>
        <v>0</v>
      </c>
      <c r="F93" s="5" t="e">
        <f ca="1">SUM(_xll.OneStop.ReportPlayer.OSRFunctions.OSRRef(D93))</f>
        <v>#NAME?</v>
      </c>
      <c r="G93" s="4">
        <f t="shared" ref="G93:G94" ca="1" si="7">IFERROR(F93/F$11,0)</f>
        <v>0</v>
      </c>
      <c r="H93" s="28"/>
    </row>
    <row r="94" spans="2:8" x14ac:dyDescent="0.25">
      <c r="C94" s="31" t="e">
        <f ca="1">"TOTAL " &amp; _xll.OneStop.ReportPlayer.OSRFunctions.OSRGet("tr_Account","ParentDescription")</f>
        <v>#NAME?</v>
      </c>
      <c r="D94" s="3" t="e">
        <f ca="1">SUM(_xll.OneStop.ReportPlayer.OSRFunctions.OSRRef(D93))</f>
        <v>#NAME?</v>
      </c>
      <c r="E94" s="1">
        <f t="shared" ca="1" si="6"/>
        <v>0</v>
      </c>
      <c r="F94" s="3" t="e">
        <f ca="1">SUM(_xll.OneStop.ReportPlayer.OSRFunctions.OSRRef(F93))</f>
        <v>#NAME?</v>
      </c>
      <c r="G94" s="1">
        <f t="shared" ca="1" si="7"/>
        <v>0</v>
      </c>
      <c r="H94" s="28"/>
    </row>
    <row r="95" spans="2:8" x14ac:dyDescent="0.25">
      <c r="C95" s="37"/>
      <c r="D95" s="8"/>
      <c r="E95" s="16"/>
      <c r="F95" s="8"/>
      <c r="G95" s="16"/>
      <c r="H95" s="28"/>
    </row>
    <row r="96" spans="2:8" collapsed="1" x14ac:dyDescent="0.25">
      <c r="C96" s="49" t="s">
        <v>16</v>
      </c>
      <c r="D96" s="13" t="e">
        <f ca="1">SUM(_xll.OneStop.ReportPlayer.OSRFunctions.OSRRef(D94))</f>
        <v>#NAME?</v>
      </c>
      <c r="E96" s="12">
        <f ca="1">IFERROR(D96/D$11,0)</f>
        <v>0</v>
      </c>
      <c r="F96" s="13" t="e">
        <f ca="1">SUM(_xll.OneStop.ReportPlayer.OSRFunctions.OSRRef(F94))</f>
        <v>#NAME?</v>
      </c>
      <c r="G96" s="12">
        <f ca="1">IFERROR(F96/F$11,0)</f>
        <v>0</v>
      </c>
      <c r="H96" s="33"/>
    </row>
    <row r="97" spans="3:8" x14ac:dyDescent="0.25">
      <c r="D97" s="11"/>
      <c r="E97" s="9"/>
      <c r="F97" s="11"/>
      <c r="G97" s="9"/>
    </row>
    <row r="98" spans="3:8" x14ac:dyDescent="0.25">
      <c r="C98" s="34" t="s">
        <v>21</v>
      </c>
      <c r="D98" s="13" t="e">
        <f ca="1">D56-D89-D96</f>
        <v>#NAME?</v>
      </c>
      <c r="E98" s="12">
        <f ca="1">IFERROR(D98/D$11,0)</f>
        <v>0</v>
      </c>
      <c r="F98" s="13" t="e">
        <f ca="1">F56-F89-F96</f>
        <v>#NAME?</v>
      </c>
      <c r="G98" s="12">
        <f ca="1">IFERROR(F98/F$11,0)</f>
        <v>0</v>
      </c>
      <c r="H98" s="29"/>
    </row>
  </sheetData>
  <mergeCells count="7">
    <mergeCell ref="F9:G9"/>
    <mergeCell ref="B2:G2"/>
    <mergeCell ref="B3:G3"/>
    <mergeCell ref="B4:G4"/>
    <mergeCell ref="B5:G5"/>
    <mergeCell ref="D7:E7"/>
    <mergeCell ref="D8:E8"/>
  </mergeCells>
  <pageMargins left="0.15" right="0.15" top="0.5" bottom="0.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98"/>
  <sheetViews>
    <sheetView showGridLines="0" zoomScale="90" workbookViewId="0">
      <pane xSplit="3" ySplit="9" topLeftCell="D10" activePane="bottomRight" state="frozenSplit"/>
      <selection pane="topRight" activeCell="D1" sqref="D1"/>
      <selection pane="bottomLeft" activeCell="A10" sqref="A10"/>
      <selection pane="bottomRight" activeCell="D10" sqref="D10"/>
    </sheetView>
  </sheetViews>
  <sheetFormatPr defaultRowHeight="15" outlineLevelRow="1" x14ac:dyDescent="0.25"/>
  <cols>
    <col min="1" max="1" width="1.5703125" customWidth="1"/>
    <col min="2" max="2" width="10" customWidth="1"/>
    <col min="3" max="3" width="25.42578125" customWidth="1"/>
    <col min="4" max="4" width="12.7109375" customWidth="1"/>
    <col min="5" max="5" width="9.7109375" customWidth="1"/>
    <col min="6" max="6" width="12.7109375" customWidth="1"/>
    <col min="7" max="7" width="9.7109375" customWidth="1"/>
    <col min="8" max="8" width="2.85546875" customWidth="1"/>
  </cols>
  <sheetData>
    <row r="1" spans="2:8" ht="8.25" customHeight="1" x14ac:dyDescent="0.25"/>
    <row r="2" spans="2:8" ht="21" x14ac:dyDescent="0.35">
      <c r="B2" s="57" t="s">
        <v>2</v>
      </c>
      <c r="C2" s="57"/>
      <c r="D2" s="57"/>
      <c r="E2" s="57"/>
      <c r="F2" s="57"/>
      <c r="G2" s="57"/>
    </row>
    <row r="3" spans="2:8" ht="18.75" x14ac:dyDescent="0.3">
      <c r="B3" s="58" t="e">
        <f ca="1">_xll.OneStop.ReportPlayer.OSRFunctions.OSRGet("d_Entity","Description")</f>
        <v>#NAME?</v>
      </c>
      <c r="C3" s="58"/>
      <c r="D3" s="58"/>
      <c r="E3" s="58"/>
      <c r="F3" s="58"/>
      <c r="G3" s="58"/>
    </row>
    <row r="4" spans="2:8" ht="18.75" x14ac:dyDescent="0.3">
      <c r="B4" s="58" t="e">
        <f ca="1">_xll.OneStop.ReportPlayer.OSRFunctions.OSRGet("d_dim0","Description")</f>
        <v>#NAME?</v>
      </c>
      <c r="C4" s="58"/>
      <c r="D4" s="58"/>
      <c r="E4" s="58"/>
      <c r="F4" s="58"/>
      <c r="G4" s="58"/>
    </row>
    <row r="5" spans="2:8" ht="18.75" x14ac:dyDescent="0.3">
      <c r="B5" s="58" t="e">
        <f ca="1">_xll.OneStop.ReportPlayer.OSRFunctions.OSRGet("d_Scenario","Description")</f>
        <v>#NAME?</v>
      </c>
      <c r="C5" s="58"/>
      <c r="D5" s="58"/>
      <c r="E5" s="58"/>
      <c r="F5" s="58"/>
      <c r="G5" s="58"/>
    </row>
    <row r="6" spans="2:8" hidden="1" x14ac:dyDescent="0.25"/>
    <row r="7" spans="2:8" x14ac:dyDescent="0.25">
      <c r="C7" s="47" t="s">
        <v>30</v>
      </c>
      <c r="D7" s="54" t="e">
        <f ca="1">_xll.OneStop.ReportPlayer.OSRFunctions.OSRGet("Date","FYPeriod")</f>
        <v>#NAME?</v>
      </c>
      <c r="E7" s="54"/>
    </row>
    <row r="8" spans="2:8" x14ac:dyDescent="0.25">
      <c r="C8" s="47" t="s">
        <v>31</v>
      </c>
      <c r="D8" s="54" t="e">
        <f ca="1">_xll.OneStop.ReportPlayer.OSRFunctions.OSRGet("Date","FYWeek")</f>
        <v>#NAME?</v>
      </c>
      <c r="E8" s="54"/>
    </row>
    <row r="9" spans="2:8" ht="21.75" customHeight="1" x14ac:dyDescent="0.25">
      <c r="B9" s="39" t="s">
        <v>0</v>
      </c>
      <c r="C9" s="39" t="s">
        <v>1</v>
      </c>
      <c r="D9" s="27"/>
      <c r="E9" s="25"/>
      <c r="F9" s="55" t="s">
        <v>32</v>
      </c>
      <c r="G9" s="56"/>
      <c r="H9" s="41"/>
    </row>
    <row r="10" spans="2:8" ht="7.5" customHeight="1" x14ac:dyDescent="0.25">
      <c r="D10" s="11"/>
      <c r="E10" s="9"/>
      <c r="F10" s="11"/>
      <c r="G10" s="9"/>
    </row>
    <row r="11" spans="2:8" ht="15.75" thickBot="1" x14ac:dyDescent="0.3">
      <c r="C11" s="46" t="s">
        <v>19</v>
      </c>
      <c r="D11" s="24">
        <f ca="1">IFERROR(_xll.OneStop.ReportPlayer.OSRFunctions.OSRGet("GL_F_Trans","Value1")*-1,0)</f>
        <v>0</v>
      </c>
      <c r="E11" s="18">
        <f ca="1">IFERROR(D11/D11,0)</f>
        <v>0</v>
      </c>
      <c r="F11" s="24" t="e">
        <f ca="1">SUM(_xll.OneStop.ReportPlayer.OSRFunctions.OSRRef(D11))</f>
        <v>#NAME?</v>
      </c>
      <c r="G11" s="18">
        <f ca="1">IFERROR(F11/F11,0)</f>
        <v>0</v>
      </c>
      <c r="H11" s="50"/>
    </row>
    <row r="12" spans="2:8" ht="15.75" outlineLevel="1" thickTop="1" x14ac:dyDescent="0.25">
      <c r="D12" s="23"/>
      <c r="E12" s="9"/>
      <c r="F12" s="23"/>
      <c r="G12" s="9"/>
    </row>
    <row r="13" spans="2:8" outlineLevel="1" x14ac:dyDescent="0.25">
      <c r="B13">
        <v>31005</v>
      </c>
      <c r="C13" t="s">
        <v>33</v>
      </c>
      <c r="D13" s="5">
        <f ca="1">IFERROR(_xll.OneStop.ReportPlayer.OSRFunctions.OSRGet("GL_F_Trans","Value1")*-1,0)</f>
        <v>0</v>
      </c>
      <c r="E13" s="4">
        <f ca="1">IFERROR(D13/D$11,0)</f>
        <v>0</v>
      </c>
      <c r="F13" s="5" t="e">
        <f ca="1">SUM(_xll.OneStop.ReportPlayer.OSRFunctions.OSRRef(D13))</f>
        <v>#NAME?</v>
      </c>
      <c r="G13" s="4">
        <f ca="1">IFERROR(F13/F$11,0)</f>
        <v>0</v>
      </c>
    </row>
    <row r="14" spans="2:8" ht="7.5" customHeight="1" x14ac:dyDescent="0.25">
      <c r="D14" s="7"/>
      <c r="E14" s="6"/>
      <c r="F14" s="7"/>
      <c r="G14" s="6"/>
    </row>
    <row r="15" spans="2:8" x14ac:dyDescent="0.25">
      <c r="B15" s="30"/>
      <c r="C15" s="32" t="s">
        <v>3</v>
      </c>
      <c r="D15" s="3">
        <f ca="1">SUM(D13:D14)</f>
        <v>0</v>
      </c>
      <c r="E15" s="1">
        <f ca="1">IFERROR(D15/D$11,0)</f>
        <v>0</v>
      </c>
      <c r="F15" s="3" t="e">
        <f ca="1">SUM(_xll.OneStop.ReportPlayer.OSRFunctions.OSRRef(D15))</f>
        <v>#NAME?</v>
      </c>
      <c r="G15" s="1">
        <f ca="1">IFERROR(F15/F$11,0)</f>
        <v>0</v>
      </c>
    </row>
    <row r="16" spans="2:8" outlineLevel="1" x14ac:dyDescent="0.25">
      <c r="D16" s="14"/>
      <c r="E16" s="6"/>
      <c r="F16" s="14"/>
      <c r="G16" s="6"/>
    </row>
    <row r="17" spans="2:8" outlineLevel="1" x14ac:dyDescent="0.25">
      <c r="B17" t="e">
        <f ca="1">_xll.OneStop.ReportPlayer.OSRFunctions.OSRGet("d_Account","Code")</f>
        <v>#NAME?</v>
      </c>
      <c r="C17" t="e">
        <f ca="1">_xll.OneStop.ReportPlayer.OSRFunctions.OSRGet("d_Account","Description")</f>
        <v>#NAME?</v>
      </c>
      <c r="D17" s="7">
        <f ca="1">IFERROR(_xll.OneStop.ReportPlayer.OSRFunctions.OSRGet("GL_F_Trans","Value1"),0)</f>
        <v>0</v>
      </c>
      <c r="E17" s="4">
        <f ca="1">IFERROR(D17/D$15,0)</f>
        <v>0</v>
      </c>
      <c r="F17" s="7" t="e">
        <f ca="1">SUM(_xll.OneStop.ReportPlayer.OSRFunctions.OSRRef(D17))</f>
        <v>#NAME?</v>
      </c>
      <c r="G17" s="4">
        <f ca="1">IFERROR(F17/F$15,0)</f>
        <v>0</v>
      </c>
    </row>
    <row r="18" spans="2:8" ht="7.5" customHeight="1" x14ac:dyDescent="0.25">
      <c r="D18" s="7"/>
      <c r="E18" s="6"/>
      <c r="F18" s="7"/>
      <c r="G18" s="6"/>
    </row>
    <row r="19" spans="2:8" x14ac:dyDescent="0.25">
      <c r="B19" s="30"/>
      <c r="C19" s="32" t="s">
        <v>4</v>
      </c>
      <c r="D19" s="3">
        <f ca="1">SUM(D17:D18)</f>
        <v>0</v>
      </c>
      <c r="E19" s="1">
        <f ca="1">IFERROR(D19/D$15,0)</f>
        <v>0</v>
      </c>
      <c r="F19" s="3" t="e">
        <f ca="1">SUM(_xll.OneStop.ReportPlayer.OSRFunctions.OSRRef(D19))</f>
        <v>#NAME?</v>
      </c>
      <c r="G19" s="1">
        <f ca="1">IFERROR(F19/F$15,0)</f>
        <v>0</v>
      </c>
      <c r="H19" s="28"/>
    </row>
    <row r="20" spans="2:8" x14ac:dyDescent="0.25">
      <c r="B20" s="29"/>
      <c r="D20" s="14"/>
      <c r="E20" s="6"/>
      <c r="F20" s="14"/>
      <c r="G20" s="6"/>
    </row>
    <row r="21" spans="2:8" x14ac:dyDescent="0.25">
      <c r="B21" s="29"/>
      <c r="C21" s="42" t="s">
        <v>5</v>
      </c>
      <c r="D21" s="15">
        <f ca="1">D15-D19</f>
        <v>0</v>
      </c>
      <c r="E21" s="1">
        <f ca="1">IFERROR(D21/D$15,0)</f>
        <v>0</v>
      </c>
      <c r="F21" s="15" t="e">
        <f ca="1">SUM(_xll.OneStop.ReportPlayer.OSRFunctions.OSRRef(D21))</f>
        <v>#NAME?</v>
      </c>
      <c r="G21" s="1">
        <f ca="1">IFERROR(F21/F$15,0)</f>
        <v>0</v>
      </c>
      <c r="H21" s="51"/>
    </row>
    <row r="22" spans="2:8" x14ac:dyDescent="0.25">
      <c r="D22" s="11"/>
      <c r="E22" s="9"/>
      <c r="F22" s="11"/>
      <c r="G22" s="9"/>
    </row>
    <row r="23" spans="2:8" outlineLevel="1" x14ac:dyDescent="0.25">
      <c r="B23" t="e">
        <f ca="1">_xll.OneStop.ReportPlayer.OSRFunctions.OSRGet("d_Account","Code")</f>
        <v>#NAME?</v>
      </c>
      <c r="C23" t="e">
        <f ca="1">_xll.OneStop.ReportPlayer.OSRFunctions.OSRGet("d_Account","Description")</f>
        <v>#NAME?</v>
      </c>
      <c r="D23" s="5">
        <f ca="1">IFERROR(_xll.OneStop.ReportPlayer.OSRFunctions.OSRGet("GL_F_Trans","Value1")*-1,0)</f>
        <v>0</v>
      </c>
      <c r="E23" s="4">
        <f ca="1">IFERROR(D23/D$11,0)</f>
        <v>0</v>
      </c>
      <c r="F23" s="5" t="e">
        <f ca="1">SUM(_xll.OneStop.ReportPlayer.OSRFunctions.OSRRef(D23))</f>
        <v>#NAME?</v>
      </c>
      <c r="G23" s="4">
        <f ca="1">IFERROR(F23/F$11,0)</f>
        <v>0</v>
      </c>
    </row>
    <row r="24" spans="2:8" ht="3.95" customHeight="1" x14ac:dyDescent="0.25">
      <c r="D24" s="5"/>
      <c r="E24" s="4"/>
      <c r="F24" s="5"/>
      <c r="G24" s="4"/>
    </row>
    <row r="25" spans="2:8" x14ac:dyDescent="0.25">
      <c r="C25" s="35" t="s">
        <v>24</v>
      </c>
      <c r="D25" s="5">
        <f ca="1">SUM(D23:D24)</f>
        <v>0</v>
      </c>
      <c r="E25" s="4">
        <f t="shared" ref="E25:E26" ca="1" si="0">IFERROR(D25/D$11,0)</f>
        <v>0</v>
      </c>
      <c r="F25" s="5" t="e">
        <f ca="1">SUM(_xll.OneStop.ReportPlayer.OSRFunctions.OSRRef(D25))</f>
        <v>#NAME?</v>
      </c>
      <c r="G25" s="4">
        <f t="shared" ref="G25:G26" ca="1" si="1">IFERROR(F25/F$11,0)</f>
        <v>0</v>
      </c>
    </row>
    <row r="26" spans="2:8" outlineLevel="1" x14ac:dyDescent="0.25">
      <c r="B26" t="e">
        <f ca="1">_xll.OneStop.ReportPlayer.OSRFunctions.OSRGet("d_Account","Code")</f>
        <v>#NAME?</v>
      </c>
      <c r="C26" t="e">
        <f ca="1">_xll.OneStop.ReportPlayer.OSRFunctions.OSRGet("d_Account","Description")</f>
        <v>#NAME?</v>
      </c>
      <c r="D26" s="5">
        <f ca="1">IFERROR(_xll.OneStop.ReportPlayer.OSRFunctions.OSRGet("GL_F_Trans","Value1")*-1,0)</f>
        <v>0</v>
      </c>
      <c r="E26" s="4">
        <f t="shared" ca="1" si="0"/>
        <v>0</v>
      </c>
      <c r="F26" s="5" t="e">
        <f ca="1">SUM(_xll.OneStop.ReportPlayer.OSRFunctions.OSRRef(D26))</f>
        <v>#NAME?</v>
      </c>
      <c r="G26" s="4">
        <f t="shared" ca="1" si="1"/>
        <v>0</v>
      </c>
    </row>
    <row r="27" spans="2:8" ht="3.95" customHeight="1" x14ac:dyDescent="0.25">
      <c r="D27" s="5"/>
      <c r="E27" s="4"/>
      <c r="F27" s="5"/>
      <c r="G27" s="4"/>
    </row>
    <row r="28" spans="2:8" x14ac:dyDescent="0.25">
      <c r="C28" s="35" t="s">
        <v>25</v>
      </c>
      <c r="D28" s="5">
        <f ca="1">SUM(D26:D27)</f>
        <v>0</v>
      </c>
      <c r="E28" s="4">
        <f t="shared" ref="E28:E29" ca="1" si="2">IFERROR(D28/D$11,0)</f>
        <v>0</v>
      </c>
      <c r="F28" s="5" t="e">
        <f ca="1">SUM(_xll.OneStop.ReportPlayer.OSRFunctions.OSRRef(D28))</f>
        <v>#NAME?</v>
      </c>
      <c r="G28" s="4">
        <f t="shared" ref="G28:G29" ca="1" si="3">IFERROR(F28/F$11,0)</f>
        <v>0</v>
      </c>
    </row>
    <row r="29" spans="2:8" outlineLevel="1" x14ac:dyDescent="0.25">
      <c r="B29" t="e">
        <f ca="1">_xll.OneStop.ReportPlayer.OSRFunctions.OSRGet("d_Account","Code")</f>
        <v>#NAME?</v>
      </c>
      <c r="C29" t="e">
        <f ca="1">_xll.OneStop.ReportPlayer.OSRFunctions.OSRGet("d_Account","Description")</f>
        <v>#NAME?</v>
      </c>
      <c r="D29" s="5">
        <f ca="1">IFERROR(_xll.OneStop.ReportPlayer.OSRFunctions.OSRGet("GL_F_Trans","Value1")*-1,0)</f>
        <v>0</v>
      </c>
      <c r="E29" s="4">
        <f t="shared" ca="1" si="2"/>
        <v>0</v>
      </c>
      <c r="F29" s="5" t="e">
        <f ca="1">SUM(_xll.OneStop.ReportPlayer.OSRFunctions.OSRRef(D29))</f>
        <v>#NAME?</v>
      </c>
      <c r="G29" s="4">
        <f t="shared" ca="1" si="3"/>
        <v>0</v>
      </c>
    </row>
    <row r="30" spans="2:8" ht="3.95" customHeight="1" x14ac:dyDescent="0.25">
      <c r="D30" s="5"/>
      <c r="E30" s="4"/>
      <c r="F30" s="5"/>
      <c r="G30" s="4"/>
    </row>
    <row r="31" spans="2:8" x14ac:dyDescent="0.25">
      <c r="C31" s="35" t="s">
        <v>26</v>
      </c>
      <c r="D31" s="5">
        <f ca="1">SUM(D29:D30)</f>
        <v>0</v>
      </c>
      <c r="E31" s="4">
        <f ca="1">IFERROR(D31/D$11,0)</f>
        <v>0</v>
      </c>
      <c r="F31" s="5" t="e">
        <f ca="1">SUM(_xll.OneStop.ReportPlayer.OSRFunctions.OSRRef(D31))</f>
        <v>#NAME?</v>
      </c>
      <c r="G31" s="4">
        <f ca="1">IFERROR(F31/F$11,0)</f>
        <v>0</v>
      </c>
    </row>
    <row r="32" spans="2:8" ht="7.5" customHeight="1" x14ac:dyDescent="0.25">
      <c r="D32" s="5"/>
      <c r="E32" s="2"/>
      <c r="F32" s="5"/>
      <c r="G32" s="2"/>
    </row>
    <row r="33" spans="2:8" x14ac:dyDescent="0.25">
      <c r="B33" s="30"/>
      <c r="C33" s="32" t="s">
        <v>20</v>
      </c>
      <c r="D33" s="3">
        <f ca="1">SUM(D25,D28,D31)</f>
        <v>0</v>
      </c>
      <c r="E33" s="1">
        <f ca="1">IFERROR(D33/D$11,0)</f>
        <v>0</v>
      </c>
      <c r="F33" s="3" t="e">
        <f ca="1">SUM(_xll.OneStop.ReportPlayer.OSRFunctions.OSRRef(D33))</f>
        <v>#NAME?</v>
      </c>
      <c r="G33" s="1">
        <f ca="1">IFERROR(F33/F$11,0)</f>
        <v>0</v>
      </c>
      <c r="H33" s="28"/>
    </row>
    <row r="34" spans="2:8" outlineLevel="1" x14ac:dyDescent="0.25">
      <c r="D34" s="7"/>
      <c r="E34" s="6"/>
      <c r="F34" s="7"/>
      <c r="G34" s="6"/>
    </row>
    <row r="35" spans="2:8" outlineLevel="1" x14ac:dyDescent="0.25">
      <c r="B35" t="e">
        <f ca="1">_xll.OneStop.ReportPlayer.OSRFunctions.OSRGet("d_Account","Code")</f>
        <v>#NAME?</v>
      </c>
      <c r="C35" t="e">
        <f ca="1">_xll.OneStop.ReportPlayer.OSRFunctions.OSRGet("d_Account","Description")</f>
        <v>#NAME?</v>
      </c>
      <c r="D35" s="7">
        <f ca="1">IFERROR(_xll.OneStop.ReportPlayer.OSRFunctions.OSRGet("GL_F_Trans","Value1"),0)</f>
        <v>0</v>
      </c>
      <c r="E35" s="4">
        <f ca="1">IFERROR(D35/D$25,0)</f>
        <v>0</v>
      </c>
      <c r="F35" s="7" t="e">
        <f ca="1">SUM(_xll.OneStop.ReportPlayer.OSRFunctions.OSRRef(D35))</f>
        <v>#NAME?</v>
      </c>
      <c r="G35" s="4">
        <f ca="1">IFERROR(F35/F$25,0)</f>
        <v>0</v>
      </c>
    </row>
    <row r="36" spans="2:8" outlineLevel="1" x14ac:dyDescent="0.25">
      <c r="B36" t="e">
        <f ca="1">_xll.OneStop.ReportPlayer.OSRFunctions.OSRGet("d_Account","Code")</f>
        <v>#NAME?</v>
      </c>
      <c r="C36" t="e">
        <f ca="1">_xll.OneStop.ReportPlayer.OSRFunctions.OSRGet("d_Account","Description")</f>
        <v>#NAME?</v>
      </c>
      <c r="D36" s="7">
        <f ca="1">IFERROR(_xll.OneStop.ReportPlayer.OSRFunctions.OSRGet("GL_F_Trans","Value1"),0)</f>
        <v>0</v>
      </c>
      <c r="E36" s="4">
        <f ca="1">IFERROR(D36/D$28,0)</f>
        <v>0</v>
      </c>
      <c r="F36" s="7" t="e">
        <f ca="1">SUM(_xll.OneStop.ReportPlayer.OSRFunctions.OSRRef(D36))</f>
        <v>#NAME?</v>
      </c>
      <c r="G36" s="4">
        <f ca="1">IFERROR(F36/F$28,0)</f>
        <v>0</v>
      </c>
    </row>
    <row r="37" spans="2:8" outlineLevel="1" x14ac:dyDescent="0.25">
      <c r="B37" t="e">
        <f ca="1">_xll.OneStop.ReportPlayer.OSRFunctions.OSRGet("d_Account","Code")</f>
        <v>#NAME?</v>
      </c>
      <c r="C37" t="e">
        <f ca="1">_xll.OneStop.ReportPlayer.OSRFunctions.OSRGet("d_Account","Description")</f>
        <v>#NAME?</v>
      </c>
      <c r="D37" s="7">
        <f ca="1">IFERROR(_xll.OneStop.ReportPlayer.OSRFunctions.OSRGet("GL_F_Trans","Value1"),0)</f>
        <v>0</v>
      </c>
      <c r="E37" s="4">
        <f ca="1">IFERROR(D37/D$31,0)</f>
        <v>0</v>
      </c>
      <c r="F37" s="7" t="e">
        <f ca="1">SUM(_xll.OneStop.ReportPlayer.OSRFunctions.OSRRef(D37))</f>
        <v>#NAME?</v>
      </c>
      <c r="G37" s="4">
        <f ca="1">IFERROR(F37/F$31,0)</f>
        <v>0</v>
      </c>
    </row>
    <row r="38" spans="2:8" ht="7.5" customHeight="1" x14ac:dyDescent="0.25">
      <c r="D38" s="7"/>
      <c r="E38" s="6"/>
      <c r="F38" s="7"/>
      <c r="G38" s="6"/>
    </row>
    <row r="39" spans="2:8" x14ac:dyDescent="0.25">
      <c r="B39" s="30"/>
      <c r="C39" s="32" t="s">
        <v>6</v>
      </c>
      <c r="D39" s="3">
        <f ca="1">SUM(D35:D38)</f>
        <v>0</v>
      </c>
      <c r="E39" s="1">
        <f ca="1">IFERROR(D39/D$33,0)</f>
        <v>0</v>
      </c>
      <c r="F39" s="3" t="e">
        <f ca="1">SUM(_xll.OneStop.ReportPlayer.OSRFunctions.OSRRef(D39))</f>
        <v>#NAME?</v>
      </c>
      <c r="G39" s="1">
        <f ca="1">IFERROR(F39/F$33,0)</f>
        <v>0</v>
      </c>
      <c r="H39" s="28"/>
    </row>
    <row r="40" spans="2:8" x14ac:dyDescent="0.25">
      <c r="B40" s="29"/>
      <c r="D40" s="7"/>
      <c r="E40" s="6"/>
      <c r="F40" s="7"/>
      <c r="G40" s="6"/>
    </row>
    <row r="41" spans="2:8" x14ac:dyDescent="0.25">
      <c r="B41" s="29"/>
      <c r="C41" s="40" t="s">
        <v>7</v>
      </c>
      <c r="D41" s="15">
        <f ca="1">D33-D39</f>
        <v>0</v>
      </c>
      <c r="E41" s="1">
        <f ca="1">IFERROR(D41/D$33,0)</f>
        <v>0</v>
      </c>
      <c r="F41" s="15" t="e">
        <f ca="1">SUM(_xll.OneStop.ReportPlayer.OSRFunctions.OSRRef(D41))</f>
        <v>#NAME?</v>
      </c>
      <c r="G41" s="1">
        <f ca="1">IFERROR(F41/F$33,0)</f>
        <v>0</v>
      </c>
      <c r="H41" s="28"/>
    </row>
    <row r="42" spans="2:8" x14ac:dyDescent="0.25">
      <c r="B42" s="29"/>
      <c r="C42" s="52"/>
      <c r="D42" s="22"/>
      <c r="E42" s="10"/>
      <c r="F42" s="22"/>
      <c r="G42" s="10"/>
      <c r="H42" s="28"/>
    </row>
    <row r="43" spans="2:8" outlineLevel="1" x14ac:dyDescent="0.25">
      <c r="B43" s="45" t="e">
        <f ca="1">_xll.OneStop.ReportPlayer.OSRFunctions.OSRGet("d_Account","Code")</f>
        <v>#NAME?</v>
      </c>
      <c r="C43" t="e">
        <f ca="1">_xll.OneStop.ReportPlayer.OSRFunctions.OSRGet("d_Account","Description")</f>
        <v>#NAME?</v>
      </c>
      <c r="D43" s="7">
        <f ca="1">IFERROR(_xll.OneStop.ReportPlayer.OSRFunctions.OSRGet("GL_F_Trans","Value1")*-1,0)</f>
        <v>0</v>
      </c>
      <c r="E43" s="4">
        <f ca="1">IFERROR(D43/D$31,0)</f>
        <v>0</v>
      </c>
      <c r="F43" s="7" t="e">
        <f ca="1">SUM(_xll.OneStop.ReportPlayer.OSRFunctions.OSRRef(D43))</f>
        <v>#NAME?</v>
      </c>
      <c r="G43" s="4">
        <f ca="1">IFERROR(F43/F$31,0)</f>
        <v>0</v>
      </c>
    </row>
    <row r="44" spans="2:8" ht="7.5" customHeight="1" x14ac:dyDescent="0.25">
      <c r="D44" s="7"/>
      <c r="E44" s="6"/>
      <c r="F44" s="7"/>
      <c r="G44" s="6"/>
    </row>
    <row r="45" spans="2:8" x14ac:dyDescent="0.25">
      <c r="B45" s="29"/>
      <c r="C45" s="32" t="s">
        <v>27</v>
      </c>
      <c r="D45" s="3">
        <f ca="1">SUM(D43:D44)</f>
        <v>0</v>
      </c>
      <c r="E45" s="1">
        <f ca="1">IFERROR(D45/D$33,0)</f>
        <v>0</v>
      </c>
      <c r="F45" s="3" t="e">
        <f ca="1">SUM(_xll.OneStop.ReportPlayer.OSRFunctions.OSRRef(D45))</f>
        <v>#NAME?</v>
      </c>
      <c r="G45" s="1">
        <f ca="1">IFERROR(F45/F$33,0)</f>
        <v>0</v>
      </c>
      <c r="H45" s="28"/>
    </row>
    <row r="46" spans="2:8" x14ac:dyDescent="0.25">
      <c r="B46" s="29"/>
      <c r="C46" s="36"/>
      <c r="D46" s="8"/>
      <c r="E46" s="10"/>
      <c r="F46" s="8"/>
      <c r="G46" s="10"/>
      <c r="H46" s="28"/>
    </row>
    <row r="47" spans="2:8" outlineLevel="1" x14ac:dyDescent="0.25">
      <c r="B47" t="e">
        <f ca="1">_xll.OneStop.ReportPlayer.OSRFunctions.OSRGet("d_Account","Code")</f>
        <v>#NAME?</v>
      </c>
      <c r="C47" t="e">
        <f ca="1">_xll.OneStop.ReportPlayer.OSRFunctions.OSRGet("d_Account","Description")</f>
        <v>#NAME?</v>
      </c>
      <c r="D47" s="7">
        <f ca="1">IFERROR(_xll.OneStop.ReportPlayer.OSRFunctions.OSRGet("GL_F_Trans","Value1"),0)</f>
        <v>0</v>
      </c>
      <c r="E47" s="4">
        <f ca="1">IFERROR(D47/D$31,0)</f>
        <v>0</v>
      </c>
      <c r="F47" s="7" t="e">
        <f ca="1">SUM(_xll.OneStop.ReportPlayer.OSRFunctions.OSRRef(D47))</f>
        <v>#NAME?</v>
      </c>
      <c r="G47" s="4">
        <f ca="1">IFERROR(F47/F$31,0)</f>
        <v>0</v>
      </c>
    </row>
    <row r="48" spans="2:8" ht="7.5" customHeight="1" x14ac:dyDescent="0.25">
      <c r="D48" s="7"/>
      <c r="E48" s="6"/>
      <c r="F48" s="7"/>
      <c r="G48" s="6"/>
    </row>
    <row r="49" spans="2:8" x14ac:dyDescent="0.25">
      <c r="B49" s="29"/>
      <c r="C49" s="32" t="s">
        <v>28</v>
      </c>
      <c r="D49" s="3">
        <f ca="1">SUM(D47:D48)</f>
        <v>0</v>
      </c>
      <c r="E49" s="1">
        <f ca="1">IFERROR(D49/D$33,0)</f>
        <v>0</v>
      </c>
      <c r="F49" s="3" t="e">
        <f ca="1">SUM(_xll.OneStop.ReportPlayer.OSRFunctions.OSRRef(D49))</f>
        <v>#NAME?</v>
      </c>
      <c r="G49" s="1">
        <f ca="1">IFERROR(F49/F$33,0)</f>
        <v>0</v>
      </c>
      <c r="H49" s="28"/>
    </row>
    <row r="50" spans="2:8" x14ac:dyDescent="0.25">
      <c r="B50" s="29"/>
      <c r="C50" s="36"/>
      <c r="D50" s="8"/>
      <c r="E50" s="10"/>
      <c r="F50" s="8"/>
      <c r="G50" s="10"/>
      <c r="H50" s="28"/>
    </row>
    <row r="51" spans="2:8" x14ac:dyDescent="0.25">
      <c r="B51" s="29"/>
      <c r="C51" s="36"/>
      <c r="D51" s="8"/>
      <c r="E51" s="10"/>
      <c r="F51" s="8"/>
      <c r="G51" s="10"/>
      <c r="H51" s="28"/>
    </row>
    <row r="52" spans="2:8" x14ac:dyDescent="0.25">
      <c r="B52" s="29"/>
      <c r="C52" s="32" t="s">
        <v>29</v>
      </c>
      <c r="D52" s="3">
        <f ca="1">D45-D49</f>
        <v>0</v>
      </c>
      <c r="E52" s="1">
        <f ca="1">IFERROR(D52/D$33,0)</f>
        <v>0</v>
      </c>
      <c r="F52" s="3" t="e">
        <f ca="1">SUM(_xll.OneStop.ReportPlayer.OSRFunctions.OSRRef(D52))</f>
        <v>#NAME?</v>
      </c>
      <c r="G52" s="1">
        <f ca="1">IFERROR(F52/F$33,0)</f>
        <v>0</v>
      </c>
      <c r="H52" s="28"/>
    </row>
    <row r="53" spans="2:8" x14ac:dyDescent="0.25">
      <c r="B53" s="29"/>
      <c r="C53" s="36"/>
      <c r="D53" s="8"/>
      <c r="E53" s="10"/>
      <c r="F53" s="8"/>
      <c r="G53" s="10"/>
      <c r="H53" s="28"/>
    </row>
    <row r="54" spans="2:8" x14ac:dyDescent="0.25">
      <c r="B54" s="29"/>
      <c r="C54" s="36"/>
      <c r="D54" s="8"/>
      <c r="E54" s="10"/>
      <c r="F54" s="8"/>
      <c r="G54" s="10"/>
      <c r="H54" s="28"/>
    </row>
    <row r="55" spans="2:8" x14ac:dyDescent="0.25">
      <c r="B55" s="29"/>
      <c r="C55" s="44" t="s">
        <v>22</v>
      </c>
      <c r="D55" s="20">
        <f ca="1">SUM(D39,D19,D49)</f>
        <v>0</v>
      </c>
      <c r="E55" s="4">
        <f t="shared" ref="E55:E56" ca="1" si="4">IFERROR(D55/D$11,0)</f>
        <v>0</v>
      </c>
      <c r="F55" s="20" t="e">
        <f ca="1">SUM(_xll.OneStop.ReportPlayer.OSRFunctions.OSRRef(D55))</f>
        <v>#NAME?</v>
      </c>
      <c r="G55" s="4">
        <f t="shared" ref="G55:G56" ca="1" si="5">IFERROR(F55/F$11,0)</f>
        <v>0</v>
      </c>
    </row>
    <row r="56" spans="2:8" ht="15.75" collapsed="1" thickBot="1" x14ac:dyDescent="0.3">
      <c r="B56" s="29"/>
      <c r="C56" s="34" t="s">
        <v>23</v>
      </c>
      <c r="D56" s="19">
        <f ca="1">D11-D55</f>
        <v>0</v>
      </c>
      <c r="E56" s="12">
        <f t="shared" ca="1" si="4"/>
        <v>0</v>
      </c>
      <c r="F56" s="19" t="e">
        <f ca="1">SUM(_xll.OneStop.ReportPlayer.OSRFunctions.OSRRef(D56))</f>
        <v>#NAME?</v>
      </c>
      <c r="G56" s="12">
        <f t="shared" ca="1" si="5"/>
        <v>0</v>
      </c>
      <c r="H56" s="53"/>
    </row>
    <row r="57" spans="2:8" ht="15.75" thickTop="1" x14ac:dyDescent="0.25">
      <c r="B57" s="29"/>
      <c r="C57" s="29"/>
      <c r="D57" s="26"/>
      <c r="E57" s="21"/>
      <c r="F57" s="43"/>
      <c r="G57" s="21"/>
    </row>
    <row r="58" spans="2:8" x14ac:dyDescent="0.25">
      <c r="D58" s="11"/>
      <c r="E58" s="9"/>
      <c r="F58" s="11"/>
      <c r="G58" s="9"/>
    </row>
    <row r="59" spans="2:8" ht="18.75" x14ac:dyDescent="0.3">
      <c r="B59" s="38" t="s">
        <v>15</v>
      </c>
      <c r="D59" s="11"/>
      <c r="E59" s="9"/>
      <c r="F59" s="11"/>
      <c r="G59" s="9"/>
    </row>
    <row r="60" spans="2:8" outlineLevel="1" x14ac:dyDescent="0.25">
      <c r="D60" s="11"/>
      <c r="E60" s="9"/>
      <c r="F60" s="11"/>
      <c r="G60" s="9"/>
    </row>
    <row r="61" spans="2:8" outlineLevel="1" x14ac:dyDescent="0.25">
      <c r="B61" t="e">
        <f ca="1">_xll.OneStop.ReportPlayer.OSRFunctions.OSRGet("d_Account","Code")</f>
        <v>#NAME?</v>
      </c>
      <c r="C61" t="e">
        <f ca="1">_xll.OneStop.ReportPlayer.OSRFunctions.OSRGet("d_Account","Description")</f>
        <v>#NAME?</v>
      </c>
      <c r="D61" s="5">
        <f ca="1">IFERROR(_xll.OneStop.ReportPlayer.OSRFunctions.OSRGet("GL_F_Trans","Value1"),0)</f>
        <v>0</v>
      </c>
      <c r="E61" s="4">
        <f ca="1">IFERROR(D61/D$15,0)</f>
        <v>0</v>
      </c>
      <c r="F61" s="5" t="e">
        <f ca="1">SUM(_xll.OneStop.ReportPlayer.OSRFunctions.OSRRef(D61))</f>
        <v>#NAME?</v>
      </c>
      <c r="G61" s="4">
        <f ca="1">IFERROR(F61/F$15,0)</f>
        <v>0</v>
      </c>
      <c r="H61" s="28"/>
    </row>
    <row r="62" spans="2:8" ht="7.5" customHeight="1" x14ac:dyDescent="0.25">
      <c r="D62" s="5"/>
      <c r="E62" s="2"/>
      <c r="F62" s="5"/>
      <c r="G62" s="2"/>
      <c r="H62" s="28"/>
    </row>
    <row r="63" spans="2:8" x14ac:dyDescent="0.25">
      <c r="B63" s="30"/>
      <c r="C63" s="31" t="s">
        <v>8</v>
      </c>
      <c r="D63" s="3">
        <f ca="1">SUM(D61:D62)</f>
        <v>0</v>
      </c>
      <c r="E63" s="1">
        <f ca="1">IFERROR(D63/D$15,0)</f>
        <v>0</v>
      </c>
      <c r="F63" s="3" t="e">
        <f ca="1">SUM(_xll.OneStop.ReportPlayer.OSRFunctions.OSRRef(D63))</f>
        <v>#NAME?</v>
      </c>
      <c r="G63" s="1">
        <f ca="1">IFERROR(F63/F$15,0)</f>
        <v>0</v>
      </c>
      <c r="H63" s="28"/>
    </row>
    <row r="64" spans="2:8" outlineLevel="1" x14ac:dyDescent="0.25">
      <c r="D64" s="5"/>
      <c r="E64" s="2"/>
      <c r="F64" s="5"/>
      <c r="G64" s="2"/>
      <c r="H64" s="28"/>
    </row>
    <row r="65" spans="2:8" outlineLevel="1" x14ac:dyDescent="0.25">
      <c r="B65" t="e">
        <f ca="1">_xll.OneStop.ReportPlayer.OSRFunctions.OSRGet("d_Account","Code")</f>
        <v>#NAME?</v>
      </c>
      <c r="C65" t="e">
        <f ca="1">_xll.OneStop.ReportPlayer.OSRFunctions.OSRGet("d_Account","Description")</f>
        <v>#NAME?</v>
      </c>
      <c r="D65" s="5">
        <f ca="1">IFERROR(_xll.OneStop.ReportPlayer.OSRFunctions.OSRGet("GL_F_Trans","Value1"),0)</f>
        <v>0</v>
      </c>
      <c r="E65" s="4">
        <f ca="1">IFERROR(D65/D$11,0)</f>
        <v>0</v>
      </c>
      <c r="F65" s="5" t="e">
        <f ca="1">SUM(_xll.OneStop.ReportPlayer.OSRFunctions.OSRRef(D65))</f>
        <v>#NAME?</v>
      </c>
      <c r="G65" s="4">
        <f ca="1">IFERROR(F65/F$11,0)</f>
        <v>0</v>
      </c>
      <c r="H65" s="28"/>
    </row>
    <row r="66" spans="2:8" ht="7.5" customHeight="1" x14ac:dyDescent="0.25">
      <c r="D66" s="5"/>
      <c r="E66" s="2"/>
      <c r="F66" s="5"/>
      <c r="G66" s="2"/>
      <c r="H66" s="28"/>
    </row>
    <row r="67" spans="2:8" x14ac:dyDescent="0.25">
      <c r="B67" s="30"/>
      <c r="C67" s="31" t="s">
        <v>9</v>
      </c>
      <c r="D67" s="3">
        <f ca="1">SUM(D65:D66)</f>
        <v>0</v>
      </c>
      <c r="E67" s="1">
        <f ca="1">IFERROR(D67/D$11,0)</f>
        <v>0</v>
      </c>
      <c r="F67" s="3" t="e">
        <f ca="1">SUM(_xll.OneStop.ReportPlayer.OSRFunctions.OSRRef(D67))</f>
        <v>#NAME?</v>
      </c>
      <c r="G67" s="1">
        <f ca="1">IFERROR(F67/F$11,0)</f>
        <v>0</v>
      </c>
      <c r="H67" s="28"/>
    </row>
    <row r="68" spans="2:8" s="29" customFormat="1" outlineLevel="1" x14ac:dyDescent="0.25">
      <c r="D68" s="5"/>
      <c r="E68" s="2"/>
      <c r="F68" s="5"/>
      <c r="G68" s="2"/>
      <c r="H68" s="33"/>
    </row>
    <row r="69" spans="2:8" outlineLevel="1" x14ac:dyDescent="0.25">
      <c r="B69" t="e">
        <f ca="1">_xll.OneStop.ReportPlayer.OSRFunctions.OSRGet("d_Account","Code")</f>
        <v>#NAME?</v>
      </c>
      <c r="C69" t="e">
        <f ca="1">_xll.OneStop.ReportPlayer.OSRFunctions.OSRGet("d_Account","Description")</f>
        <v>#NAME?</v>
      </c>
      <c r="D69" s="5">
        <f ca="1">IFERROR(_xll.OneStop.ReportPlayer.OSRFunctions.OSRGet("GL_F_Trans","Value1"),0)</f>
        <v>0</v>
      </c>
      <c r="E69" s="4">
        <f ca="1">IFERROR(D69/D$11,0)</f>
        <v>0</v>
      </c>
      <c r="F69" s="5" t="e">
        <f ca="1">SUM(_xll.OneStop.ReportPlayer.OSRFunctions.OSRRef(D69))</f>
        <v>#NAME?</v>
      </c>
      <c r="G69" s="4">
        <f ca="1">IFERROR(F69/F$11,0)</f>
        <v>0</v>
      </c>
      <c r="H69" s="28"/>
    </row>
    <row r="70" spans="2:8" ht="7.5" customHeight="1" x14ac:dyDescent="0.25">
      <c r="D70" s="5"/>
      <c r="E70" s="2"/>
      <c r="F70" s="5"/>
      <c r="G70" s="2"/>
      <c r="H70" s="28"/>
    </row>
    <row r="71" spans="2:8" x14ac:dyDescent="0.25">
      <c r="B71" s="30"/>
      <c r="C71" s="31" t="s">
        <v>11</v>
      </c>
      <c r="D71" s="3">
        <f ca="1">SUM(D69:D70)</f>
        <v>0</v>
      </c>
      <c r="E71" s="1">
        <f ca="1">IFERROR(D71/D$11,0)</f>
        <v>0</v>
      </c>
      <c r="F71" s="3" t="e">
        <f ca="1">SUM(_xll.OneStop.ReportPlayer.OSRFunctions.OSRRef(D71))</f>
        <v>#NAME?</v>
      </c>
      <c r="G71" s="1">
        <f ca="1">IFERROR(F71/F$11,0)</f>
        <v>0</v>
      </c>
      <c r="H71" s="28"/>
    </row>
    <row r="72" spans="2:8" s="29" customFormat="1" outlineLevel="1" x14ac:dyDescent="0.25">
      <c r="D72" s="5"/>
      <c r="E72" s="2"/>
      <c r="F72" s="5"/>
      <c r="G72" s="2"/>
      <c r="H72" s="33"/>
    </row>
    <row r="73" spans="2:8" outlineLevel="1" x14ac:dyDescent="0.25">
      <c r="B73" t="e">
        <f ca="1">_xll.OneStop.ReportPlayer.OSRFunctions.OSRGet("d_Account","Code")</f>
        <v>#NAME?</v>
      </c>
      <c r="C73" t="e">
        <f ca="1">_xll.OneStop.ReportPlayer.OSRFunctions.OSRGet("d_Account","Description")</f>
        <v>#NAME?</v>
      </c>
      <c r="D73" s="5">
        <f ca="1">IFERROR(_xll.OneStop.ReportPlayer.OSRFunctions.OSRGet("GL_F_Trans","Value1"),0)</f>
        <v>0</v>
      </c>
      <c r="E73" s="4">
        <f ca="1">IFERROR(D73/D$11,0)</f>
        <v>0</v>
      </c>
      <c r="F73" s="5"/>
      <c r="G73" s="4">
        <f ca="1">IFERROR(F73/F$11,0)</f>
        <v>0</v>
      </c>
      <c r="H73" s="28"/>
    </row>
    <row r="74" spans="2:8" ht="7.5" customHeight="1" x14ac:dyDescent="0.25">
      <c r="D74" s="5"/>
      <c r="E74" s="2"/>
      <c r="F74" s="5"/>
      <c r="G74" s="2"/>
      <c r="H74" s="28"/>
    </row>
    <row r="75" spans="2:8" x14ac:dyDescent="0.25">
      <c r="B75" s="30"/>
      <c r="C75" s="31" t="s">
        <v>12</v>
      </c>
      <c r="D75" s="3">
        <f ca="1">SUM(D73:D74)</f>
        <v>0</v>
      </c>
      <c r="E75" s="1">
        <f ca="1">IFERROR(D75/D$11,0)</f>
        <v>0</v>
      </c>
      <c r="F75" s="3" t="e">
        <f ca="1">SUM(_xll.OneStop.ReportPlayer.OSRFunctions.OSRRef(D75))</f>
        <v>#NAME?</v>
      </c>
      <c r="G75" s="1">
        <f ca="1">IFERROR(F75/F$11,0)</f>
        <v>0</v>
      </c>
      <c r="H75" s="28"/>
    </row>
    <row r="76" spans="2:8" s="29" customFormat="1" outlineLevel="1" x14ac:dyDescent="0.25">
      <c r="D76" s="5"/>
      <c r="E76" s="2"/>
      <c r="F76" s="5"/>
      <c r="G76" s="2"/>
      <c r="H76" s="33"/>
    </row>
    <row r="77" spans="2:8" outlineLevel="1" x14ac:dyDescent="0.25">
      <c r="B77" t="e">
        <f ca="1">_xll.OneStop.ReportPlayer.OSRFunctions.OSRGet("d_Account","Code")</f>
        <v>#NAME?</v>
      </c>
      <c r="C77" t="e">
        <f ca="1">_xll.OneStop.ReportPlayer.OSRFunctions.OSRGet("d_Account","Description")</f>
        <v>#NAME?</v>
      </c>
      <c r="D77" s="5">
        <f ca="1">IFERROR(_xll.OneStop.ReportPlayer.OSRFunctions.OSRGet("GL_F_Trans","Value1"),0)</f>
        <v>0</v>
      </c>
      <c r="E77" s="4">
        <f ca="1">IFERROR(D77/D$11,0)</f>
        <v>0</v>
      </c>
      <c r="F77" s="5"/>
      <c r="G77" s="4">
        <f ca="1">IFERROR(F77/F$11,0)</f>
        <v>0</v>
      </c>
      <c r="H77" s="28"/>
    </row>
    <row r="78" spans="2:8" ht="7.5" customHeight="1" x14ac:dyDescent="0.25">
      <c r="D78" s="5"/>
      <c r="E78" s="2"/>
      <c r="F78" s="5"/>
      <c r="G78" s="2"/>
      <c r="H78" s="28"/>
    </row>
    <row r="79" spans="2:8" x14ac:dyDescent="0.25">
      <c r="B79" s="30"/>
      <c r="C79" s="31" t="s">
        <v>18</v>
      </c>
      <c r="D79" s="3">
        <f ca="1">SUM(D77:D78)</f>
        <v>0</v>
      </c>
      <c r="E79" s="1">
        <f ca="1">IFERROR(D79/D$11,0)</f>
        <v>0</v>
      </c>
      <c r="F79" s="3" t="e">
        <f ca="1">SUM(_xll.OneStop.ReportPlayer.OSRFunctions.OSRRef(D79))</f>
        <v>#NAME?</v>
      </c>
      <c r="G79" s="1">
        <f ca="1">IFERROR(F79/F$11,0)</f>
        <v>0</v>
      </c>
      <c r="H79" s="28"/>
    </row>
    <row r="80" spans="2:8" s="29" customFormat="1" outlineLevel="1" x14ac:dyDescent="0.25">
      <c r="D80" s="5"/>
      <c r="E80" s="2"/>
      <c r="F80" s="5"/>
      <c r="G80" s="2"/>
      <c r="H80" s="33"/>
    </row>
    <row r="81" spans="2:8" outlineLevel="1" x14ac:dyDescent="0.25">
      <c r="B81" t="e">
        <f ca="1">_xll.OneStop.ReportPlayer.OSRFunctions.OSRGet("d_Account","Code")</f>
        <v>#NAME?</v>
      </c>
      <c r="C81" t="e">
        <f ca="1">_xll.OneStop.ReportPlayer.OSRFunctions.OSRGet("d_Account","Description")</f>
        <v>#NAME?</v>
      </c>
      <c r="D81" s="5">
        <f ca="1">IFERROR(_xll.OneStop.ReportPlayer.OSRFunctions.OSRGet("GL_F_Trans","Value1"),0)</f>
        <v>0</v>
      </c>
      <c r="E81" s="4">
        <f ca="1">IFERROR(D81/D$11,0)</f>
        <v>0</v>
      </c>
      <c r="F81" s="5" t="e">
        <f ca="1">SUM(_xll.OneStop.ReportPlayer.OSRFunctions.OSRRef(D81))</f>
        <v>#NAME?</v>
      </c>
      <c r="G81" s="4">
        <f ca="1">IFERROR(F81/F$11,0)</f>
        <v>0</v>
      </c>
      <c r="H81" s="28"/>
    </row>
    <row r="82" spans="2:8" ht="7.5" customHeight="1" x14ac:dyDescent="0.25">
      <c r="D82" s="5"/>
      <c r="E82" s="2"/>
      <c r="F82" s="5"/>
      <c r="G82" s="2"/>
      <c r="H82" s="28"/>
    </row>
    <row r="83" spans="2:8" x14ac:dyDescent="0.25">
      <c r="B83" s="30"/>
      <c r="C83" s="31" t="s">
        <v>10</v>
      </c>
      <c r="D83" s="3">
        <f ca="1">SUM(D81:D82)</f>
        <v>0</v>
      </c>
      <c r="E83" s="1">
        <f ca="1">IFERROR(D83/D$11,0)</f>
        <v>0</v>
      </c>
      <c r="F83" s="3" t="e">
        <f ca="1">SUM(_xll.OneStop.ReportPlayer.OSRFunctions.OSRRef(D83))</f>
        <v>#NAME?</v>
      </c>
      <c r="G83" s="1">
        <f ca="1">IFERROR(F83/F$11,0)</f>
        <v>0</v>
      </c>
      <c r="H83" s="28"/>
    </row>
    <row r="84" spans="2:8" s="29" customFormat="1" outlineLevel="1" x14ac:dyDescent="0.25">
      <c r="B84" s="30"/>
      <c r="C84" s="37"/>
      <c r="D84" s="8"/>
      <c r="E84" s="16"/>
      <c r="F84" s="8"/>
      <c r="G84" s="16"/>
      <c r="H84" s="33"/>
    </row>
    <row r="85" spans="2:8" outlineLevel="1" x14ac:dyDescent="0.25">
      <c r="B85" t="e">
        <f ca="1">_xll.OneStop.ReportPlayer.OSRFunctions.OSRGet("d_Account","Code")</f>
        <v>#NAME?</v>
      </c>
      <c r="C85" t="e">
        <f ca="1">_xll.OneStop.ReportPlayer.OSRFunctions.OSRGet("d_Account","Description")</f>
        <v>#NAME?</v>
      </c>
      <c r="D85" s="5">
        <f ca="1">IFERROR(_xll.OneStop.ReportPlayer.OSRFunctions.OSRGet("GL_F_Trans","Value1"),0)</f>
        <v>0</v>
      </c>
      <c r="E85" s="4">
        <f ca="1">IFERROR(D85/D$11,0)</f>
        <v>0</v>
      </c>
      <c r="F85" s="5" t="e">
        <f ca="1">SUM(_xll.OneStop.ReportPlayer.OSRFunctions.OSRRef(D85))</f>
        <v>#NAME?</v>
      </c>
      <c r="G85" s="4">
        <f ca="1">IFERROR(F85/F$11,0)</f>
        <v>0</v>
      </c>
      <c r="H85" s="28"/>
    </row>
    <row r="86" spans="2:8" ht="7.5" customHeight="1" x14ac:dyDescent="0.25">
      <c r="D86" s="5"/>
      <c r="E86" s="2"/>
      <c r="F86" s="5"/>
      <c r="G86" s="2"/>
      <c r="H86" s="28"/>
    </row>
    <row r="87" spans="2:8" x14ac:dyDescent="0.25">
      <c r="B87" s="30"/>
      <c r="C87" s="31" t="s">
        <v>17</v>
      </c>
      <c r="D87" s="3">
        <f ca="1">SUM(D85:D86)</f>
        <v>0</v>
      </c>
      <c r="E87" s="1">
        <f ca="1">IFERROR(D87/D$11,0)</f>
        <v>0</v>
      </c>
      <c r="F87" s="3" t="e">
        <f ca="1">SUM(_xll.OneStop.ReportPlayer.OSRFunctions.OSRRef(D87))</f>
        <v>#NAME?</v>
      </c>
      <c r="G87" s="1">
        <f ca="1">IFERROR(F87/F$11,0)</f>
        <v>0</v>
      </c>
      <c r="H87" s="28"/>
    </row>
    <row r="88" spans="2:8" s="29" customFormat="1" x14ac:dyDescent="0.25">
      <c r="D88" s="5"/>
      <c r="E88" s="2"/>
      <c r="F88" s="5"/>
      <c r="G88" s="2"/>
      <c r="H88" s="33"/>
    </row>
    <row r="89" spans="2:8" collapsed="1" x14ac:dyDescent="0.25">
      <c r="C89" s="34" t="s">
        <v>13</v>
      </c>
      <c r="D89" s="13">
        <f ca="1">SUM(D83,D75,D71,D67,D63,D87,D79)</f>
        <v>0</v>
      </c>
      <c r="E89" s="12">
        <f ca="1">IFERROR(D89/D$11,0)</f>
        <v>0</v>
      </c>
      <c r="F89" s="13" t="e">
        <f ca="1">SUM(F83,F75,F71,F67,F63,F87,F79)</f>
        <v>#NAME?</v>
      </c>
      <c r="G89" s="12">
        <f ca="1">IFERROR(F89/F$11,0)</f>
        <v>0</v>
      </c>
      <c r="H89" s="48"/>
    </row>
    <row r="90" spans="2:8" x14ac:dyDescent="0.25">
      <c r="D90" s="5"/>
      <c r="E90" s="2"/>
      <c r="F90" s="5"/>
      <c r="G90" s="2"/>
      <c r="H90" s="28"/>
    </row>
    <row r="91" spans="2:8" ht="18.75" x14ac:dyDescent="0.3">
      <c r="B91" s="38" t="s">
        <v>14</v>
      </c>
      <c r="D91" s="5"/>
      <c r="E91" s="2"/>
      <c r="F91" s="5"/>
      <c r="G91" s="2"/>
      <c r="H91" s="28"/>
    </row>
    <row r="92" spans="2:8" outlineLevel="1" x14ac:dyDescent="0.25">
      <c r="D92" s="5"/>
      <c r="E92" s="2"/>
      <c r="F92" s="5"/>
      <c r="G92" s="2"/>
      <c r="H92" s="28"/>
    </row>
    <row r="93" spans="2:8" outlineLevel="1" x14ac:dyDescent="0.25">
      <c r="B93" t="e">
        <f ca="1">_xll.OneStop.ReportPlayer.OSRFunctions.OSRGet("d_Account","Code")</f>
        <v>#NAME?</v>
      </c>
      <c r="C93" t="e">
        <f ca="1">_xll.OneStop.ReportPlayer.OSRFunctions.OSRGet("d_Account","Description")</f>
        <v>#NAME?</v>
      </c>
      <c r="D93" s="5">
        <f ca="1">IFERROR(_xll.OneStop.ReportPlayer.OSRFunctions.OSRGet("GL_F_Trans","Value1"),0)</f>
        <v>0</v>
      </c>
      <c r="E93" s="4">
        <f t="shared" ref="E93:E94" ca="1" si="6">IFERROR(D93/D$11,0)</f>
        <v>0</v>
      </c>
      <c r="F93" s="5" t="e">
        <f ca="1">SUM(_xll.OneStop.ReportPlayer.OSRFunctions.OSRRef(D93))</f>
        <v>#NAME?</v>
      </c>
      <c r="G93" s="4">
        <f t="shared" ref="G93:G94" ca="1" si="7">IFERROR(F93/F$11,0)</f>
        <v>0</v>
      </c>
      <c r="H93" s="28"/>
    </row>
    <row r="94" spans="2:8" x14ac:dyDescent="0.25">
      <c r="C94" s="31" t="e">
        <f ca="1">"TOTAL " &amp; _xll.OneStop.ReportPlayer.OSRFunctions.OSRGet("tr_Account","ParentDescription")</f>
        <v>#NAME?</v>
      </c>
      <c r="D94" s="3" t="e">
        <f ca="1">SUM(_xll.OneStop.ReportPlayer.OSRFunctions.OSRRef(D93))</f>
        <v>#NAME?</v>
      </c>
      <c r="E94" s="1">
        <f t="shared" ca="1" si="6"/>
        <v>0</v>
      </c>
      <c r="F94" s="3" t="e">
        <f ca="1">SUM(_xll.OneStop.ReportPlayer.OSRFunctions.OSRRef(F93))</f>
        <v>#NAME?</v>
      </c>
      <c r="G94" s="1">
        <f t="shared" ca="1" si="7"/>
        <v>0</v>
      </c>
      <c r="H94" s="28"/>
    </row>
    <row r="95" spans="2:8" x14ac:dyDescent="0.25">
      <c r="C95" s="37"/>
      <c r="D95" s="8"/>
      <c r="E95" s="16"/>
      <c r="F95" s="8"/>
      <c r="G95" s="16"/>
      <c r="H95" s="28"/>
    </row>
    <row r="96" spans="2:8" collapsed="1" x14ac:dyDescent="0.25">
      <c r="C96" s="49" t="s">
        <v>16</v>
      </c>
      <c r="D96" s="13" t="e">
        <f ca="1">SUM(_xll.OneStop.ReportPlayer.OSRFunctions.OSRRef(D94))</f>
        <v>#NAME?</v>
      </c>
      <c r="E96" s="12">
        <f ca="1">IFERROR(D96/D$11,0)</f>
        <v>0</v>
      </c>
      <c r="F96" s="13" t="e">
        <f ca="1">SUM(_xll.OneStop.ReportPlayer.OSRFunctions.OSRRef(F94))</f>
        <v>#NAME?</v>
      </c>
      <c r="G96" s="12">
        <f ca="1">IFERROR(F96/F$11,0)</f>
        <v>0</v>
      </c>
      <c r="H96" s="33"/>
    </row>
    <row r="97" spans="3:8" x14ac:dyDescent="0.25">
      <c r="D97" s="11"/>
      <c r="E97" s="9"/>
      <c r="F97" s="11"/>
      <c r="G97" s="9"/>
    </row>
    <row r="98" spans="3:8" x14ac:dyDescent="0.25">
      <c r="C98" s="34" t="s">
        <v>21</v>
      </c>
      <c r="D98" s="13" t="e">
        <f ca="1">D56-D89-D96</f>
        <v>#NAME?</v>
      </c>
      <c r="E98" s="12">
        <f ca="1">IFERROR(D98/D$11,0)</f>
        <v>0</v>
      </c>
      <c r="F98" s="13" t="e">
        <f ca="1">F56-F89-F96</f>
        <v>#NAME?</v>
      </c>
      <c r="G98" s="12">
        <f ca="1">IFERROR(F98/F$11,0)</f>
        <v>0</v>
      </c>
      <c r="H98" s="29"/>
    </row>
  </sheetData>
  <mergeCells count="7">
    <mergeCell ref="F9:G9"/>
    <mergeCell ref="B2:G2"/>
    <mergeCell ref="B3:G3"/>
    <mergeCell ref="B4:G4"/>
    <mergeCell ref="B5:G5"/>
    <mergeCell ref="D7:E7"/>
    <mergeCell ref="D8:E8"/>
  </mergeCells>
  <pageMargins left="0.15" right="0.15" top="0.5" bottom="0.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98"/>
  <sheetViews>
    <sheetView showGridLines="0" zoomScale="90" workbookViewId="0">
      <pane xSplit="3" ySplit="9" topLeftCell="D10" activePane="bottomRight" state="frozenSplit"/>
      <selection pane="topRight" activeCell="D1" sqref="D1"/>
      <selection pane="bottomLeft" activeCell="A10" sqref="A10"/>
      <selection pane="bottomRight" activeCell="D10" sqref="D10"/>
    </sheetView>
  </sheetViews>
  <sheetFormatPr defaultRowHeight="15" outlineLevelRow="1" x14ac:dyDescent="0.25"/>
  <cols>
    <col min="1" max="1" width="1.5703125" customWidth="1"/>
    <col min="2" max="2" width="10" customWidth="1"/>
    <col min="3" max="3" width="25.42578125" customWidth="1"/>
    <col min="4" max="4" width="12.7109375" customWidth="1"/>
    <col min="5" max="5" width="9.7109375" customWidth="1"/>
    <col min="6" max="6" width="12.7109375" customWidth="1"/>
    <col min="7" max="7" width="9.7109375" customWidth="1"/>
    <col min="8" max="8" width="2.85546875" customWidth="1"/>
  </cols>
  <sheetData>
    <row r="1" spans="2:8" ht="8.25" customHeight="1" x14ac:dyDescent="0.25"/>
    <row r="2" spans="2:8" ht="21" x14ac:dyDescent="0.35">
      <c r="B2" s="57" t="s">
        <v>2</v>
      </c>
      <c r="C2" s="57"/>
      <c r="D2" s="57"/>
      <c r="E2" s="57"/>
      <c r="F2" s="57"/>
      <c r="G2" s="57"/>
    </row>
    <row r="3" spans="2:8" ht="18.75" x14ac:dyDescent="0.3">
      <c r="B3" s="58" t="e">
        <f ca="1">_xll.OneStop.ReportPlayer.OSRFunctions.OSRGet("d_Entity","Description")</f>
        <v>#NAME?</v>
      </c>
      <c r="C3" s="58"/>
      <c r="D3" s="58"/>
      <c r="E3" s="58"/>
      <c r="F3" s="58"/>
      <c r="G3" s="58"/>
    </row>
    <row r="4" spans="2:8" ht="18.75" x14ac:dyDescent="0.3">
      <c r="B4" s="58" t="e">
        <f ca="1">_xll.OneStop.ReportPlayer.OSRFunctions.OSRGet("d_dim0","Description")</f>
        <v>#NAME?</v>
      </c>
      <c r="C4" s="58"/>
      <c r="D4" s="58"/>
      <c r="E4" s="58"/>
      <c r="F4" s="58"/>
      <c r="G4" s="58"/>
    </row>
    <row r="5" spans="2:8" ht="18.75" x14ac:dyDescent="0.3">
      <c r="B5" s="58" t="e">
        <f ca="1">_xll.OneStop.ReportPlayer.OSRFunctions.OSRGet("d_Scenario","Description")</f>
        <v>#NAME?</v>
      </c>
      <c r="C5" s="58"/>
      <c r="D5" s="58"/>
      <c r="E5" s="58"/>
      <c r="F5" s="58"/>
      <c r="G5" s="58"/>
    </row>
    <row r="6" spans="2:8" hidden="1" x14ac:dyDescent="0.25"/>
    <row r="7" spans="2:8" x14ac:dyDescent="0.25">
      <c r="C7" s="47" t="s">
        <v>30</v>
      </c>
      <c r="D7" s="54" t="e">
        <f ca="1">_xll.OneStop.ReportPlayer.OSRFunctions.OSRGet("Date","FYPeriod")</f>
        <v>#NAME?</v>
      </c>
      <c r="E7" s="54"/>
    </row>
    <row r="8" spans="2:8" x14ac:dyDescent="0.25">
      <c r="C8" s="47" t="s">
        <v>31</v>
      </c>
      <c r="D8" s="54" t="e">
        <f ca="1">_xll.OneStop.ReportPlayer.OSRFunctions.OSRGet("Date","FYWeek")</f>
        <v>#NAME?</v>
      </c>
      <c r="E8" s="54"/>
    </row>
    <row r="9" spans="2:8" ht="21.75" customHeight="1" x14ac:dyDescent="0.25">
      <c r="B9" s="39" t="s">
        <v>0</v>
      </c>
      <c r="C9" s="39" t="s">
        <v>1</v>
      </c>
      <c r="D9" s="27"/>
      <c r="E9" s="25"/>
      <c r="F9" s="55" t="s">
        <v>32</v>
      </c>
      <c r="G9" s="56"/>
      <c r="H9" s="41"/>
    </row>
    <row r="10" spans="2:8" ht="7.5" customHeight="1" x14ac:dyDescent="0.25">
      <c r="D10" s="11"/>
      <c r="E10" s="9"/>
      <c r="F10" s="11"/>
      <c r="G10" s="9"/>
    </row>
    <row r="11" spans="2:8" ht="15.75" thickBot="1" x14ac:dyDescent="0.3">
      <c r="C11" s="46" t="s">
        <v>19</v>
      </c>
      <c r="D11" s="24">
        <f ca="1">IFERROR(_xll.OneStop.ReportPlayer.OSRFunctions.OSRGet("GL_F_Trans","Value1")*-1,0)</f>
        <v>0</v>
      </c>
      <c r="E11" s="18">
        <f ca="1">IFERROR(D11/D11,0)</f>
        <v>0</v>
      </c>
      <c r="F11" s="24" t="e">
        <f ca="1">SUM(_xll.OneStop.ReportPlayer.OSRFunctions.OSRRef(D11))</f>
        <v>#NAME?</v>
      </c>
      <c r="G11" s="18">
        <f ca="1">IFERROR(F11/F11,0)</f>
        <v>0</v>
      </c>
      <c r="H11" s="50"/>
    </row>
    <row r="12" spans="2:8" ht="15.75" outlineLevel="1" thickTop="1" x14ac:dyDescent="0.25">
      <c r="D12" s="23"/>
      <c r="E12" s="9"/>
      <c r="F12" s="23"/>
      <c r="G12" s="9"/>
    </row>
    <row r="13" spans="2:8" outlineLevel="1" x14ac:dyDescent="0.25">
      <c r="B13">
        <v>31005</v>
      </c>
      <c r="C13" t="s">
        <v>33</v>
      </c>
      <c r="D13" s="5">
        <f ca="1">IFERROR(_xll.OneStop.ReportPlayer.OSRFunctions.OSRGet("GL_F_Trans","Value1")*-1,0)</f>
        <v>0</v>
      </c>
      <c r="E13" s="4">
        <f ca="1">IFERROR(D13/D$11,0)</f>
        <v>0</v>
      </c>
      <c r="F13" s="5" t="e">
        <f ca="1">SUM(_xll.OneStop.ReportPlayer.OSRFunctions.OSRRef(D13))</f>
        <v>#NAME?</v>
      </c>
      <c r="G13" s="4">
        <f ca="1">IFERROR(F13/F$11,0)</f>
        <v>0</v>
      </c>
    </row>
    <row r="14" spans="2:8" ht="7.5" customHeight="1" x14ac:dyDescent="0.25">
      <c r="D14" s="7"/>
      <c r="E14" s="6"/>
      <c r="F14" s="7"/>
      <c r="G14" s="6"/>
    </row>
    <row r="15" spans="2:8" x14ac:dyDescent="0.25">
      <c r="B15" s="30"/>
      <c r="C15" s="32" t="s">
        <v>3</v>
      </c>
      <c r="D15" s="3">
        <f ca="1">SUM(D13:D14)</f>
        <v>0</v>
      </c>
      <c r="E15" s="1">
        <f ca="1">IFERROR(D15/D$11,0)</f>
        <v>0</v>
      </c>
      <c r="F15" s="3" t="e">
        <f ca="1">SUM(_xll.OneStop.ReportPlayer.OSRFunctions.OSRRef(D15))</f>
        <v>#NAME?</v>
      </c>
      <c r="G15" s="1">
        <f ca="1">IFERROR(F15/F$11,0)</f>
        <v>0</v>
      </c>
    </row>
    <row r="16" spans="2:8" outlineLevel="1" x14ac:dyDescent="0.25">
      <c r="D16" s="14"/>
      <c r="E16" s="6"/>
      <c r="F16" s="14"/>
      <c r="G16" s="6"/>
    </row>
    <row r="17" spans="2:8" outlineLevel="1" x14ac:dyDescent="0.25">
      <c r="B17" t="e">
        <f ca="1">_xll.OneStop.ReportPlayer.OSRFunctions.OSRGet("d_Account","Code")</f>
        <v>#NAME?</v>
      </c>
      <c r="C17" t="e">
        <f ca="1">_xll.OneStop.ReportPlayer.OSRFunctions.OSRGet("d_Account","Description")</f>
        <v>#NAME?</v>
      </c>
      <c r="D17" s="7">
        <f ca="1">IFERROR(_xll.OneStop.ReportPlayer.OSRFunctions.OSRGet("GL_F_Trans","Value1"),0)</f>
        <v>0</v>
      </c>
      <c r="E17" s="4">
        <f ca="1">IFERROR(D17/D$15,0)</f>
        <v>0</v>
      </c>
      <c r="F17" s="7" t="e">
        <f ca="1">SUM(_xll.OneStop.ReportPlayer.OSRFunctions.OSRRef(D17))</f>
        <v>#NAME?</v>
      </c>
      <c r="G17" s="4">
        <f ca="1">IFERROR(F17/F$15,0)</f>
        <v>0</v>
      </c>
    </row>
    <row r="18" spans="2:8" ht="7.5" customHeight="1" x14ac:dyDescent="0.25">
      <c r="D18" s="7"/>
      <c r="E18" s="6"/>
      <c r="F18" s="7"/>
      <c r="G18" s="6"/>
    </row>
    <row r="19" spans="2:8" x14ac:dyDescent="0.25">
      <c r="B19" s="30"/>
      <c r="C19" s="32" t="s">
        <v>4</v>
      </c>
      <c r="D19" s="3">
        <f ca="1">SUM(D17:D18)</f>
        <v>0</v>
      </c>
      <c r="E19" s="1">
        <f ca="1">IFERROR(D19/D$15,0)</f>
        <v>0</v>
      </c>
      <c r="F19" s="3" t="e">
        <f ca="1">SUM(_xll.OneStop.ReportPlayer.OSRFunctions.OSRRef(D19))</f>
        <v>#NAME?</v>
      </c>
      <c r="G19" s="1">
        <f ca="1">IFERROR(F19/F$15,0)</f>
        <v>0</v>
      </c>
      <c r="H19" s="28"/>
    </row>
    <row r="20" spans="2:8" x14ac:dyDescent="0.25">
      <c r="B20" s="29"/>
      <c r="D20" s="14"/>
      <c r="E20" s="6"/>
      <c r="F20" s="14"/>
      <c r="G20" s="6"/>
    </row>
    <row r="21" spans="2:8" x14ac:dyDescent="0.25">
      <c r="B21" s="29"/>
      <c r="C21" s="42" t="s">
        <v>5</v>
      </c>
      <c r="D21" s="15">
        <f ca="1">D15-D19</f>
        <v>0</v>
      </c>
      <c r="E21" s="1">
        <f ca="1">IFERROR(D21/D$15,0)</f>
        <v>0</v>
      </c>
      <c r="F21" s="15" t="e">
        <f ca="1">SUM(_xll.OneStop.ReportPlayer.OSRFunctions.OSRRef(D21))</f>
        <v>#NAME?</v>
      </c>
      <c r="G21" s="1">
        <f ca="1">IFERROR(F21/F$15,0)</f>
        <v>0</v>
      </c>
      <c r="H21" s="51"/>
    </row>
    <row r="22" spans="2:8" x14ac:dyDescent="0.25">
      <c r="D22" s="11"/>
      <c r="E22" s="9"/>
      <c r="F22" s="11"/>
      <c r="G22" s="9"/>
    </row>
    <row r="23" spans="2:8" outlineLevel="1" x14ac:dyDescent="0.25">
      <c r="B23" t="e">
        <f ca="1">_xll.OneStop.ReportPlayer.OSRFunctions.OSRGet("d_Account","Code")</f>
        <v>#NAME?</v>
      </c>
      <c r="C23" t="e">
        <f ca="1">_xll.OneStop.ReportPlayer.OSRFunctions.OSRGet("d_Account","Description")</f>
        <v>#NAME?</v>
      </c>
      <c r="D23" s="5">
        <f ca="1">IFERROR(_xll.OneStop.ReportPlayer.OSRFunctions.OSRGet("GL_F_Trans","Value1")*-1,0)</f>
        <v>0</v>
      </c>
      <c r="E23" s="4">
        <f ca="1">IFERROR(D23/D$11,0)</f>
        <v>0</v>
      </c>
      <c r="F23" s="5" t="e">
        <f ca="1">SUM(_xll.OneStop.ReportPlayer.OSRFunctions.OSRRef(D23))</f>
        <v>#NAME?</v>
      </c>
      <c r="G23" s="4">
        <f ca="1">IFERROR(F23/F$11,0)</f>
        <v>0</v>
      </c>
    </row>
    <row r="24" spans="2:8" ht="3.95" customHeight="1" x14ac:dyDescent="0.25">
      <c r="D24" s="5"/>
      <c r="E24" s="4"/>
      <c r="F24" s="5"/>
      <c r="G24" s="4"/>
    </row>
    <row r="25" spans="2:8" x14ac:dyDescent="0.25">
      <c r="C25" s="35" t="s">
        <v>24</v>
      </c>
      <c r="D25" s="5">
        <f ca="1">SUM(D23:D24)</f>
        <v>0</v>
      </c>
      <c r="E25" s="4">
        <f t="shared" ref="E25:E26" ca="1" si="0">IFERROR(D25/D$11,0)</f>
        <v>0</v>
      </c>
      <c r="F25" s="5" t="e">
        <f ca="1">SUM(_xll.OneStop.ReportPlayer.OSRFunctions.OSRRef(D25))</f>
        <v>#NAME?</v>
      </c>
      <c r="G25" s="4">
        <f t="shared" ref="G25:G26" ca="1" si="1">IFERROR(F25/F$11,0)</f>
        <v>0</v>
      </c>
    </row>
    <row r="26" spans="2:8" outlineLevel="1" x14ac:dyDescent="0.25">
      <c r="B26" t="e">
        <f ca="1">_xll.OneStop.ReportPlayer.OSRFunctions.OSRGet("d_Account","Code")</f>
        <v>#NAME?</v>
      </c>
      <c r="C26" t="e">
        <f ca="1">_xll.OneStop.ReportPlayer.OSRFunctions.OSRGet("d_Account","Description")</f>
        <v>#NAME?</v>
      </c>
      <c r="D26" s="5">
        <f ca="1">IFERROR(_xll.OneStop.ReportPlayer.OSRFunctions.OSRGet("GL_F_Trans","Value1")*-1,0)</f>
        <v>0</v>
      </c>
      <c r="E26" s="4">
        <f t="shared" ca="1" si="0"/>
        <v>0</v>
      </c>
      <c r="F26" s="5" t="e">
        <f ca="1">SUM(_xll.OneStop.ReportPlayer.OSRFunctions.OSRRef(D26))</f>
        <v>#NAME?</v>
      </c>
      <c r="G26" s="4">
        <f t="shared" ca="1" si="1"/>
        <v>0</v>
      </c>
    </row>
    <row r="27" spans="2:8" ht="3.95" customHeight="1" x14ac:dyDescent="0.25">
      <c r="D27" s="5"/>
      <c r="E27" s="4"/>
      <c r="F27" s="5"/>
      <c r="G27" s="4"/>
    </row>
    <row r="28" spans="2:8" x14ac:dyDescent="0.25">
      <c r="C28" s="35" t="s">
        <v>25</v>
      </c>
      <c r="D28" s="5">
        <f ca="1">SUM(D26:D27)</f>
        <v>0</v>
      </c>
      <c r="E28" s="4">
        <f t="shared" ref="E28:E29" ca="1" si="2">IFERROR(D28/D$11,0)</f>
        <v>0</v>
      </c>
      <c r="F28" s="5" t="e">
        <f ca="1">SUM(_xll.OneStop.ReportPlayer.OSRFunctions.OSRRef(D28))</f>
        <v>#NAME?</v>
      </c>
      <c r="G28" s="4">
        <f t="shared" ref="G28:G29" ca="1" si="3">IFERROR(F28/F$11,0)</f>
        <v>0</v>
      </c>
    </row>
    <row r="29" spans="2:8" outlineLevel="1" x14ac:dyDescent="0.25">
      <c r="B29" t="e">
        <f ca="1">_xll.OneStop.ReportPlayer.OSRFunctions.OSRGet("d_Account","Code")</f>
        <v>#NAME?</v>
      </c>
      <c r="C29" t="e">
        <f ca="1">_xll.OneStop.ReportPlayer.OSRFunctions.OSRGet("d_Account","Description")</f>
        <v>#NAME?</v>
      </c>
      <c r="D29" s="5">
        <f ca="1">IFERROR(_xll.OneStop.ReportPlayer.OSRFunctions.OSRGet("GL_F_Trans","Value1")*-1,0)</f>
        <v>0</v>
      </c>
      <c r="E29" s="4">
        <f t="shared" ca="1" si="2"/>
        <v>0</v>
      </c>
      <c r="F29" s="5" t="e">
        <f ca="1">SUM(_xll.OneStop.ReportPlayer.OSRFunctions.OSRRef(D29))</f>
        <v>#NAME?</v>
      </c>
      <c r="G29" s="4">
        <f t="shared" ca="1" si="3"/>
        <v>0</v>
      </c>
    </row>
    <row r="30" spans="2:8" ht="3.95" customHeight="1" x14ac:dyDescent="0.25">
      <c r="D30" s="5"/>
      <c r="E30" s="4"/>
      <c r="F30" s="5"/>
      <c r="G30" s="4"/>
    </row>
    <row r="31" spans="2:8" x14ac:dyDescent="0.25">
      <c r="C31" s="35" t="s">
        <v>26</v>
      </c>
      <c r="D31" s="5">
        <f ca="1">SUM(D29:D30)</f>
        <v>0</v>
      </c>
      <c r="E31" s="4">
        <f ca="1">IFERROR(D31/D$11,0)</f>
        <v>0</v>
      </c>
      <c r="F31" s="5" t="e">
        <f ca="1">SUM(_xll.OneStop.ReportPlayer.OSRFunctions.OSRRef(D31))</f>
        <v>#NAME?</v>
      </c>
      <c r="G31" s="4">
        <f ca="1">IFERROR(F31/F$11,0)</f>
        <v>0</v>
      </c>
    </row>
    <row r="32" spans="2:8" ht="7.5" customHeight="1" x14ac:dyDescent="0.25">
      <c r="D32" s="5"/>
      <c r="E32" s="2"/>
      <c r="F32" s="5"/>
      <c r="G32" s="2"/>
    </row>
    <row r="33" spans="2:8" x14ac:dyDescent="0.25">
      <c r="B33" s="30"/>
      <c r="C33" s="32" t="s">
        <v>20</v>
      </c>
      <c r="D33" s="3">
        <f ca="1">SUM(D25,D28,D31)</f>
        <v>0</v>
      </c>
      <c r="E33" s="1">
        <f ca="1">IFERROR(D33/D$11,0)</f>
        <v>0</v>
      </c>
      <c r="F33" s="3" t="e">
        <f ca="1">SUM(_xll.OneStop.ReportPlayer.OSRFunctions.OSRRef(D33))</f>
        <v>#NAME?</v>
      </c>
      <c r="G33" s="1">
        <f ca="1">IFERROR(F33/F$11,0)</f>
        <v>0</v>
      </c>
      <c r="H33" s="28"/>
    </row>
    <row r="34" spans="2:8" outlineLevel="1" x14ac:dyDescent="0.25">
      <c r="D34" s="7"/>
      <c r="E34" s="6"/>
      <c r="F34" s="7"/>
      <c r="G34" s="6"/>
    </row>
    <row r="35" spans="2:8" outlineLevel="1" x14ac:dyDescent="0.25">
      <c r="B35" t="e">
        <f ca="1">_xll.OneStop.ReportPlayer.OSRFunctions.OSRGet("d_Account","Code")</f>
        <v>#NAME?</v>
      </c>
      <c r="C35" t="e">
        <f ca="1">_xll.OneStop.ReportPlayer.OSRFunctions.OSRGet("d_Account","Description")</f>
        <v>#NAME?</v>
      </c>
      <c r="D35" s="7">
        <f ca="1">IFERROR(_xll.OneStop.ReportPlayer.OSRFunctions.OSRGet("GL_F_Trans","Value1"),0)</f>
        <v>0</v>
      </c>
      <c r="E35" s="4">
        <f ca="1">IFERROR(D35/D$25,0)</f>
        <v>0</v>
      </c>
      <c r="F35" s="7" t="e">
        <f ca="1">SUM(_xll.OneStop.ReportPlayer.OSRFunctions.OSRRef(D35))</f>
        <v>#NAME?</v>
      </c>
      <c r="G35" s="4">
        <f ca="1">IFERROR(F35/F$25,0)</f>
        <v>0</v>
      </c>
    </row>
    <row r="36" spans="2:8" outlineLevel="1" x14ac:dyDescent="0.25">
      <c r="B36" t="e">
        <f ca="1">_xll.OneStop.ReportPlayer.OSRFunctions.OSRGet("d_Account","Code")</f>
        <v>#NAME?</v>
      </c>
      <c r="C36" t="e">
        <f ca="1">_xll.OneStop.ReportPlayer.OSRFunctions.OSRGet("d_Account","Description")</f>
        <v>#NAME?</v>
      </c>
      <c r="D36" s="7">
        <f ca="1">IFERROR(_xll.OneStop.ReportPlayer.OSRFunctions.OSRGet("GL_F_Trans","Value1"),0)</f>
        <v>0</v>
      </c>
      <c r="E36" s="4">
        <f ca="1">IFERROR(D36/D$28,0)</f>
        <v>0</v>
      </c>
      <c r="F36" s="7" t="e">
        <f ca="1">SUM(_xll.OneStop.ReportPlayer.OSRFunctions.OSRRef(D36))</f>
        <v>#NAME?</v>
      </c>
      <c r="G36" s="4">
        <f ca="1">IFERROR(F36/F$28,0)</f>
        <v>0</v>
      </c>
    </row>
    <row r="37" spans="2:8" outlineLevel="1" x14ac:dyDescent="0.25">
      <c r="B37" t="e">
        <f ca="1">_xll.OneStop.ReportPlayer.OSRFunctions.OSRGet("d_Account","Code")</f>
        <v>#NAME?</v>
      </c>
      <c r="C37" t="e">
        <f ca="1">_xll.OneStop.ReportPlayer.OSRFunctions.OSRGet("d_Account","Description")</f>
        <v>#NAME?</v>
      </c>
      <c r="D37" s="7">
        <f ca="1">IFERROR(_xll.OneStop.ReportPlayer.OSRFunctions.OSRGet("GL_F_Trans","Value1"),0)</f>
        <v>0</v>
      </c>
      <c r="E37" s="4">
        <f ca="1">IFERROR(D37/D$31,0)</f>
        <v>0</v>
      </c>
      <c r="F37" s="7" t="e">
        <f ca="1">SUM(_xll.OneStop.ReportPlayer.OSRFunctions.OSRRef(D37))</f>
        <v>#NAME?</v>
      </c>
      <c r="G37" s="4">
        <f ca="1">IFERROR(F37/F$31,0)</f>
        <v>0</v>
      </c>
    </row>
    <row r="38" spans="2:8" ht="7.5" customHeight="1" x14ac:dyDescent="0.25">
      <c r="D38" s="7"/>
      <c r="E38" s="6"/>
      <c r="F38" s="7"/>
      <c r="G38" s="6"/>
    </row>
    <row r="39" spans="2:8" x14ac:dyDescent="0.25">
      <c r="B39" s="30"/>
      <c r="C39" s="32" t="s">
        <v>6</v>
      </c>
      <c r="D39" s="3">
        <f ca="1">SUM(D35:D38)</f>
        <v>0</v>
      </c>
      <c r="E39" s="1">
        <f ca="1">IFERROR(D39/D$33,0)</f>
        <v>0</v>
      </c>
      <c r="F39" s="3" t="e">
        <f ca="1">SUM(_xll.OneStop.ReportPlayer.OSRFunctions.OSRRef(D39))</f>
        <v>#NAME?</v>
      </c>
      <c r="G39" s="1">
        <f ca="1">IFERROR(F39/F$33,0)</f>
        <v>0</v>
      </c>
      <c r="H39" s="28"/>
    </row>
    <row r="40" spans="2:8" x14ac:dyDescent="0.25">
      <c r="B40" s="29"/>
      <c r="D40" s="7"/>
      <c r="E40" s="6"/>
      <c r="F40" s="7"/>
      <c r="G40" s="6"/>
    </row>
    <row r="41" spans="2:8" x14ac:dyDescent="0.25">
      <c r="B41" s="29"/>
      <c r="C41" s="40" t="s">
        <v>7</v>
      </c>
      <c r="D41" s="15">
        <f ca="1">D33-D39</f>
        <v>0</v>
      </c>
      <c r="E41" s="1">
        <f ca="1">IFERROR(D41/D$33,0)</f>
        <v>0</v>
      </c>
      <c r="F41" s="15" t="e">
        <f ca="1">SUM(_xll.OneStop.ReportPlayer.OSRFunctions.OSRRef(D41))</f>
        <v>#NAME?</v>
      </c>
      <c r="G41" s="1">
        <f ca="1">IFERROR(F41/F$33,0)</f>
        <v>0</v>
      </c>
      <c r="H41" s="28"/>
    </row>
    <row r="42" spans="2:8" x14ac:dyDescent="0.25">
      <c r="B42" s="29"/>
      <c r="C42" s="52"/>
      <c r="D42" s="22"/>
      <c r="E42" s="10"/>
      <c r="F42" s="22"/>
      <c r="G42" s="10"/>
      <c r="H42" s="28"/>
    </row>
    <row r="43" spans="2:8" outlineLevel="1" x14ac:dyDescent="0.25">
      <c r="B43" s="45" t="e">
        <f ca="1">_xll.OneStop.ReportPlayer.OSRFunctions.OSRGet("d_Account","Code")</f>
        <v>#NAME?</v>
      </c>
      <c r="C43" t="e">
        <f ca="1">_xll.OneStop.ReportPlayer.OSRFunctions.OSRGet("d_Account","Description")</f>
        <v>#NAME?</v>
      </c>
      <c r="D43" s="7">
        <f ca="1">IFERROR(_xll.OneStop.ReportPlayer.OSRFunctions.OSRGet("GL_F_Trans","Value1")*-1,0)</f>
        <v>0</v>
      </c>
      <c r="E43" s="4">
        <f ca="1">IFERROR(D43/D$31,0)</f>
        <v>0</v>
      </c>
      <c r="F43" s="7" t="e">
        <f ca="1">SUM(_xll.OneStop.ReportPlayer.OSRFunctions.OSRRef(D43))</f>
        <v>#NAME?</v>
      </c>
      <c r="G43" s="4">
        <f ca="1">IFERROR(F43/F$31,0)</f>
        <v>0</v>
      </c>
    </row>
    <row r="44" spans="2:8" ht="7.5" customHeight="1" x14ac:dyDescent="0.25">
      <c r="D44" s="7"/>
      <c r="E44" s="6"/>
      <c r="F44" s="7"/>
      <c r="G44" s="6"/>
    </row>
    <row r="45" spans="2:8" x14ac:dyDescent="0.25">
      <c r="B45" s="29"/>
      <c r="C45" s="32" t="s">
        <v>27</v>
      </c>
      <c r="D45" s="3">
        <f ca="1">SUM(D43:D44)</f>
        <v>0</v>
      </c>
      <c r="E45" s="1">
        <f ca="1">IFERROR(D45/D$33,0)</f>
        <v>0</v>
      </c>
      <c r="F45" s="3" t="e">
        <f ca="1">SUM(_xll.OneStop.ReportPlayer.OSRFunctions.OSRRef(D45))</f>
        <v>#NAME?</v>
      </c>
      <c r="G45" s="1">
        <f ca="1">IFERROR(F45/F$33,0)</f>
        <v>0</v>
      </c>
      <c r="H45" s="28"/>
    </row>
    <row r="46" spans="2:8" x14ac:dyDescent="0.25">
      <c r="B46" s="29"/>
      <c r="C46" s="36"/>
      <c r="D46" s="8"/>
      <c r="E46" s="10"/>
      <c r="F46" s="8"/>
      <c r="G46" s="10"/>
      <c r="H46" s="28"/>
    </row>
    <row r="47" spans="2:8" outlineLevel="1" x14ac:dyDescent="0.25">
      <c r="B47" t="e">
        <f ca="1">_xll.OneStop.ReportPlayer.OSRFunctions.OSRGet("d_Account","Code")</f>
        <v>#NAME?</v>
      </c>
      <c r="C47" t="e">
        <f ca="1">_xll.OneStop.ReportPlayer.OSRFunctions.OSRGet("d_Account","Description")</f>
        <v>#NAME?</v>
      </c>
      <c r="D47" s="7">
        <f ca="1">IFERROR(_xll.OneStop.ReportPlayer.OSRFunctions.OSRGet("GL_F_Trans","Value1"),0)</f>
        <v>0</v>
      </c>
      <c r="E47" s="4">
        <f ca="1">IFERROR(D47/D$31,0)</f>
        <v>0</v>
      </c>
      <c r="F47" s="7" t="e">
        <f ca="1">SUM(_xll.OneStop.ReportPlayer.OSRFunctions.OSRRef(D47))</f>
        <v>#NAME?</v>
      </c>
      <c r="G47" s="4">
        <f ca="1">IFERROR(F47/F$31,0)</f>
        <v>0</v>
      </c>
    </row>
    <row r="48" spans="2:8" ht="7.5" customHeight="1" x14ac:dyDescent="0.25">
      <c r="D48" s="7"/>
      <c r="E48" s="6"/>
      <c r="F48" s="7"/>
      <c r="G48" s="6"/>
    </row>
    <row r="49" spans="2:8" x14ac:dyDescent="0.25">
      <c r="B49" s="29"/>
      <c r="C49" s="32" t="s">
        <v>28</v>
      </c>
      <c r="D49" s="3">
        <f ca="1">SUM(D47:D48)</f>
        <v>0</v>
      </c>
      <c r="E49" s="1">
        <f ca="1">IFERROR(D49/D$33,0)</f>
        <v>0</v>
      </c>
      <c r="F49" s="3" t="e">
        <f ca="1">SUM(_xll.OneStop.ReportPlayer.OSRFunctions.OSRRef(D49))</f>
        <v>#NAME?</v>
      </c>
      <c r="G49" s="1">
        <f ca="1">IFERROR(F49/F$33,0)</f>
        <v>0</v>
      </c>
      <c r="H49" s="28"/>
    </row>
    <row r="50" spans="2:8" x14ac:dyDescent="0.25">
      <c r="B50" s="29"/>
      <c r="C50" s="36"/>
      <c r="D50" s="8"/>
      <c r="E50" s="10"/>
      <c r="F50" s="8"/>
      <c r="G50" s="10"/>
      <c r="H50" s="28"/>
    </row>
    <row r="51" spans="2:8" x14ac:dyDescent="0.25">
      <c r="B51" s="29"/>
      <c r="C51" s="36"/>
      <c r="D51" s="8"/>
      <c r="E51" s="10"/>
      <c r="F51" s="8"/>
      <c r="G51" s="10"/>
      <c r="H51" s="28"/>
    </row>
    <row r="52" spans="2:8" x14ac:dyDescent="0.25">
      <c r="B52" s="29"/>
      <c r="C52" s="32" t="s">
        <v>29</v>
      </c>
      <c r="D52" s="3">
        <f ca="1">D45-D49</f>
        <v>0</v>
      </c>
      <c r="E52" s="1">
        <f ca="1">IFERROR(D52/D$33,0)</f>
        <v>0</v>
      </c>
      <c r="F52" s="3" t="e">
        <f ca="1">SUM(_xll.OneStop.ReportPlayer.OSRFunctions.OSRRef(D52))</f>
        <v>#NAME?</v>
      </c>
      <c r="G52" s="1">
        <f ca="1">IFERROR(F52/F$33,0)</f>
        <v>0</v>
      </c>
      <c r="H52" s="28"/>
    </row>
    <row r="53" spans="2:8" x14ac:dyDescent="0.25">
      <c r="B53" s="29"/>
      <c r="C53" s="36"/>
      <c r="D53" s="8"/>
      <c r="E53" s="10"/>
      <c r="F53" s="8"/>
      <c r="G53" s="10"/>
      <c r="H53" s="28"/>
    </row>
    <row r="54" spans="2:8" x14ac:dyDescent="0.25">
      <c r="B54" s="29"/>
      <c r="C54" s="36"/>
      <c r="D54" s="8"/>
      <c r="E54" s="10"/>
      <c r="F54" s="8"/>
      <c r="G54" s="10"/>
      <c r="H54" s="28"/>
    </row>
    <row r="55" spans="2:8" x14ac:dyDescent="0.25">
      <c r="B55" s="29"/>
      <c r="C55" s="44" t="s">
        <v>22</v>
      </c>
      <c r="D55" s="20">
        <f ca="1">SUM(D39,D19,D49)</f>
        <v>0</v>
      </c>
      <c r="E55" s="4">
        <f t="shared" ref="E55:E56" ca="1" si="4">IFERROR(D55/D$11,0)</f>
        <v>0</v>
      </c>
      <c r="F55" s="20" t="e">
        <f ca="1">SUM(_xll.OneStop.ReportPlayer.OSRFunctions.OSRRef(D55))</f>
        <v>#NAME?</v>
      </c>
      <c r="G55" s="4">
        <f t="shared" ref="G55:G56" ca="1" si="5">IFERROR(F55/F$11,0)</f>
        <v>0</v>
      </c>
    </row>
    <row r="56" spans="2:8" ht="15.75" collapsed="1" thickBot="1" x14ac:dyDescent="0.3">
      <c r="B56" s="29"/>
      <c r="C56" s="34" t="s">
        <v>23</v>
      </c>
      <c r="D56" s="19">
        <f ca="1">D11-D55</f>
        <v>0</v>
      </c>
      <c r="E56" s="12">
        <f t="shared" ca="1" si="4"/>
        <v>0</v>
      </c>
      <c r="F56" s="19" t="e">
        <f ca="1">SUM(_xll.OneStop.ReportPlayer.OSRFunctions.OSRRef(D56))</f>
        <v>#NAME?</v>
      </c>
      <c r="G56" s="12">
        <f t="shared" ca="1" si="5"/>
        <v>0</v>
      </c>
      <c r="H56" s="53"/>
    </row>
    <row r="57" spans="2:8" ht="15.75" thickTop="1" x14ac:dyDescent="0.25">
      <c r="B57" s="29"/>
      <c r="C57" s="29"/>
      <c r="D57" s="26"/>
      <c r="E57" s="21"/>
      <c r="F57" s="43"/>
      <c r="G57" s="21"/>
    </row>
    <row r="58" spans="2:8" x14ac:dyDescent="0.25">
      <c r="D58" s="11"/>
      <c r="E58" s="9"/>
      <c r="F58" s="11"/>
      <c r="G58" s="9"/>
    </row>
    <row r="59" spans="2:8" ht="18.75" x14ac:dyDescent="0.3">
      <c r="B59" s="38" t="s">
        <v>15</v>
      </c>
      <c r="D59" s="11"/>
      <c r="E59" s="9"/>
      <c r="F59" s="11"/>
      <c r="G59" s="9"/>
    </row>
    <row r="60" spans="2:8" outlineLevel="1" x14ac:dyDescent="0.25">
      <c r="D60" s="11"/>
      <c r="E60" s="9"/>
      <c r="F60" s="11"/>
      <c r="G60" s="9"/>
    </row>
    <row r="61" spans="2:8" outlineLevel="1" x14ac:dyDescent="0.25">
      <c r="B61" t="e">
        <f ca="1">_xll.OneStop.ReportPlayer.OSRFunctions.OSRGet("d_Account","Code")</f>
        <v>#NAME?</v>
      </c>
      <c r="C61" t="e">
        <f ca="1">_xll.OneStop.ReportPlayer.OSRFunctions.OSRGet("d_Account","Description")</f>
        <v>#NAME?</v>
      </c>
      <c r="D61" s="5">
        <f ca="1">IFERROR(_xll.OneStop.ReportPlayer.OSRFunctions.OSRGet("GL_F_Trans","Value1"),0)</f>
        <v>0</v>
      </c>
      <c r="E61" s="4">
        <f ca="1">IFERROR(D61/D$15,0)</f>
        <v>0</v>
      </c>
      <c r="F61" s="5" t="e">
        <f ca="1">SUM(_xll.OneStop.ReportPlayer.OSRFunctions.OSRRef(D61))</f>
        <v>#NAME?</v>
      </c>
      <c r="G61" s="4">
        <f ca="1">IFERROR(F61/F$15,0)</f>
        <v>0</v>
      </c>
      <c r="H61" s="28"/>
    </row>
    <row r="62" spans="2:8" ht="7.5" customHeight="1" x14ac:dyDescent="0.25">
      <c r="D62" s="5"/>
      <c r="E62" s="2"/>
      <c r="F62" s="5"/>
      <c r="G62" s="2"/>
      <c r="H62" s="28"/>
    </row>
    <row r="63" spans="2:8" x14ac:dyDescent="0.25">
      <c r="B63" s="30"/>
      <c r="C63" s="31" t="s">
        <v>8</v>
      </c>
      <c r="D63" s="3">
        <f ca="1">SUM(D61:D62)</f>
        <v>0</v>
      </c>
      <c r="E63" s="1">
        <f ca="1">IFERROR(D63/D$15,0)</f>
        <v>0</v>
      </c>
      <c r="F63" s="3" t="e">
        <f ca="1">SUM(_xll.OneStop.ReportPlayer.OSRFunctions.OSRRef(D63))</f>
        <v>#NAME?</v>
      </c>
      <c r="G63" s="1">
        <f ca="1">IFERROR(F63/F$15,0)</f>
        <v>0</v>
      </c>
      <c r="H63" s="28"/>
    </row>
    <row r="64" spans="2:8" outlineLevel="1" x14ac:dyDescent="0.25">
      <c r="D64" s="5"/>
      <c r="E64" s="2"/>
      <c r="F64" s="5"/>
      <c r="G64" s="2"/>
      <c r="H64" s="28"/>
    </row>
    <row r="65" spans="2:8" outlineLevel="1" x14ac:dyDescent="0.25">
      <c r="B65" t="e">
        <f ca="1">_xll.OneStop.ReportPlayer.OSRFunctions.OSRGet("d_Account","Code")</f>
        <v>#NAME?</v>
      </c>
      <c r="C65" t="e">
        <f ca="1">_xll.OneStop.ReportPlayer.OSRFunctions.OSRGet("d_Account","Description")</f>
        <v>#NAME?</v>
      </c>
      <c r="D65" s="5">
        <f ca="1">IFERROR(_xll.OneStop.ReportPlayer.OSRFunctions.OSRGet("GL_F_Trans","Value1"),0)</f>
        <v>0</v>
      </c>
      <c r="E65" s="4">
        <f ca="1">IFERROR(D65/D$11,0)</f>
        <v>0</v>
      </c>
      <c r="F65" s="5" t="e">
        <f ca="1">SUM(_xll.OneStop.ReportPlayer.OSRFunctions.OSRRef(D65))</f>
        <v>#NAME?</v>
      </c>
      <c r="G65" s="4">
        <f ca="1">IFERROR(F65/F$11,0)</f>
        <v>0</v>
      </c>
      <c r="H65" s="28"/>
    </row>
    <row r="66" spans="2:8" ht="7.5" customHeight="1" x14ac:dyDescent="0.25">
      <c r="D66" s="5"/>
      <c r="E66" s="2"/>
      <c r="F66" s="5"/>
      <c r="G66" s="2"/>
      <c r="H66" s="28"/>
    </row>
    <row r="67" spans="2:8" x14ac:dyDescent="0.25">
      <c r="B67" s="30"/>
      <c r="C67" s="31" t="s">
        <v>9</v>
      </c>
      <c r="D67" s="3">
        <f ca="1">SUM(D65:D66)</f>
        <v>0</v>
      </c>
      <c r="E67" s="1">
        <f ca="1">IFERROR(D67/D$11,0)</f>
        <v>0</v>
      </c>
      <c r="F67" s="3" t="e">
        <f ca="1">SUM(_xll.OneStop.ReportPlayer.OSRFunctions.OSRRef(D67))</f>
        <v>#NAME?</v>
      </c>
      <c r="G67" s="1">
        <f ca="1">IFERROR(F67/F$11,0)</f>
        <v>0</v>
      </c>
      <c r="H67" s="28"/>
    </row>
    <row r="68" spans="2:8" s="29" customFormat="1" outlineLevel="1" x14ac:dyDescent="0.25">
      <c r="D68" s="5"/>
      <c r="E68" s="2"/>
      <c r="F68" s="5"/>
      <c r="G68" s="2"/>
      <c r="H68" s="33"/>
    </row>
    <row r="69" spans="2:8" outlineLevel="1" x14ac:dyDescent="0.25">
      <c r="B69" t="e">
        <f ca="1">_xll.OneStop.ReportPlayer.OSRFunctions.OSRGet("d_Account","Code")</f>
        <v>#NAME?</v>
      </c>
      <c r="C69" t="e">
        <f ca="1">_xll.OneStop.ReportPlayer.OSRFunctions.OSRGet("d_Account","Description")</f>
        <v>#NAME?</v>
      </c>
      <c r="D69" s="5">
        <f ca="1">IFERROR(_xll.OneStop.ReportPlayer.OSRFunctions.OSRGet("GL_F_Trans","Value1"),0)</f>
        <v>0</v>
      </c>
      <c r="E69" s="4">
        <f ca="1">IFERROR(D69/D$11,0)</f>
        <v>0</v>
      </c>
      <c r="F69" s="5" t="e">
        <f ca="1">SUM(_xll.OneStop.ReportPlayer.OSRFunctions.OSRRef(D69))</f>
        <v>#NAME?</v>
      </c>
      <c r="G69" s="4">
        <f ca="1">IFERROR(F69/F$11,0)</f>
        <v>0</v>
      </c>
      <c r="H69" s="28"/>
    </row>
    <row r="70" spans="2:8" ht="7.5" customHeight="1" x14ac:dyDescent="0.25">
      <c r="D70" s="5"/>
      <c r="E70" s="2"/>
      <c r="F70" s="5"/>
      <c r="G70" s="2"/>
      <c r="H70" s="28"/>
    </row>
    <row r="71" spans="2:8" x14ac:dyDescent="0.25">
      <c r="B71" s="30"/>
      <c r="C71" s="31" t="s">
        <v>11</v>
      </c>
      <c r="D71" s="3">
        <f ca="1">SUM(D69:D70)</f>
        <v>0</v>
      </c>
      <c r="E71" s="1">
        <f ca="1">IFERROR(D71/D$11,0)</f>
        <v>0</v>
      </c>
      <c r="F71" s="3" t="e">
        <f ca="1">SUM(_xll.OneStop.ReportPlayer.OSRFunctions.OSRRef(D71))</f>
        <v>#NAME?</v>
      </c>
      <c r="G71" s="1">
        <f ca="1">IFERROR(F71/F$11,0)</f>
        <v>0</v>
      </c>
      <c r="H71" s="28"/>
    </row>
    <row r="72" spans="2:8" s="29" customFormat="1" outlineLevel="1" x14ac:dyDescent="0.25">
      <c r="D72" s="5"/>
      <c r="E72" s="2"/>
      <c r="F72" s="5"/>
      <c r="G72" s="2"/>
      <c r="H72" s="33"/>
    </row>
    <row r="73" spans="2:8" outlineLevel="1" x14ac:dyDescent="0.25">
      <c r="B73" t="e">
        <f ca="1">_xll.OneStop.ReportPlayer.OSRFunctions.OSRGet("d_Account","Code")</f>
        <v>#NAME?</v>
      </c>
      <c r="C73" t="e">
        <f ca="1">_xll.OneStop.ReportPlayer.OSRFunctions.OSRGet("d_Account","Description")</f>
        <v>#NAME?</v>
      </c>
      <c r="D73" s="5">
        <f ca="1">IFERROR(_xll.OneStop.ReportPlayer.OSRFunctions.OSRGet("GL_F_Trans","Value1"),0)</f>
        <v>0</v>
      </c>
      <c r="E73" s="4">
        <f ca="1">IFERROR(D73/D$11,0)</f>
        <v>0</v>
      </c>
      <c r="F73" s="5"/>
      <c r="G73" s="4">
        <f ca="1">IFERROR(F73/F$11,0)</f>
        <v>0</v>
      </c>
      <c r="H73" s="28"/>
    </row>
    <row r="74" spans="2:8" ht="7.5" customHeight="1" x14ac:dyDescent="0.25">
      <c r="D74" s="5"/>
      <c r="E74" s="2"/>
      <c r="F74" s="5"/>
      <c r="G74" s="2"/>
      <c r="H74" s="28"/>
    </row>
    <row r="75" spans="2:8" x14ac:dyDescent="0.25">
      <c r="B75" s="30"/>
      <c r="C75" s="31" t="s">
        <v>12</v>
      </c>
      <c r="D75" s="3">
        <f ca="1">SUM(D73:D74)</f>
        <v>0</v>
      </c>
      <c r="E75" s="1">
        <f ca="1">IFERROR(D75/D$11,0)</f>
        <v>0</v>
      </c>
      <c r="F75" s="3" t="e">
        <f ca="1">SUM(_xll.OneStop.ReportPlayer.OSRFunctions.OSRRef(D75))</f>
        <v>#NAME?</v>
      </c>
      <c r="G75" s="1">
        <f ca="1">IFERROR(F75/F$11,0)</f>
        <v>0</v>
      </c>
      <c r="H75" s="28"/>
    </row>
    <row r="76" spans="2:8" s="29" customFormat="1" outlineLevel="1" x14ac:dyDescent="0.25">
      <c r="D76" s="5"/>
      <c r="E76" s="2"/>
      <c r="F76" s="5"/>
      <c r="G76" s="2"/>
      <c r="H76" s="33"/>
    </row>
    <row r="77" spans="2:8" outlineLevel="1" x14ac:dyDescent="0.25">
      <c r="B77" t="e">
        <f ca="1">_xll.OneStop.ReportPlayer.OSRFunctions.OSRGet("d_Account","Code")</f>
        <v>#NAME?</v>
      </c>
      <c r="C77" t="e">
        <f ca="1">_xll.OneStop.ReportPlayer.OSRFunctions.OSRGet("d_Account","Description")</f>
        <v>#NAME?</v>
      </c>
      <c r="D77" s="5">
        <f ca="1">IFERROR(_xll.OneStop.ReportPlayer.OSRFunctions.OSRGet("GL_F_Trans","Value1"),0)</f>
        <v>0</v>
      </c>
      <c r="E77" s="4">
        <f ca="1">IFERROR(D77/D$11,0)</f>
        <v>0</v>
      </c>
      <c r="F77" s="5"/>
      <c r="G77" s="4">
        <f ca="1">IFERROR(F77/F$11,0)</f>
        <v>0</v>
      </c>
      <c r="H77" s="28"/>
    </row>
    <row r="78" spans="2:8" ht="7.5" customHeight="1" x14ac:dyDescent="0.25">
      <c r="D78" s="5"/>
      <c r="E78" s="2"/>
      <c r="F78" s="5"/>
      <c r="G78" s="2"/>
      <c r="H78" s="28"/>
    </row>
    <row r="79" spans="2:8" x14ac:dyDescent="0.25">
      <c r="B79" s="30"/>
      <c r="C79" s="31" t="s">
        <v>18</v>
      </c>
      <c r="D79" s="3">
        <f ca="1">SUM(D77:D78)</f>
        <v>0</v>
      </c>
      <c r="E79" s="1">
        <f ca="1">IFERROR(D79/D$11,0)</f>
        <v>0</v>
      </c>
      <c r="F79" s="3" t="e">
        <f ca="1">SUM(_xll.OneStop.ReportPlayer.OSRFunctions.OSRRef(D79))</f>
        <v>#NAME?</v>
      </c>
      <c r="G79" s="1">
        <f ca="1">IFERROR(F79/F$11,0)</f>
        <v>0</v>
      </c>
      <c r="H79" s="28"/>
    </row>
    <row r="80" spans="2:8" s="29" customFormat="1" outlineLevel="1" x14ac:dyDescent="0.25">
      <c r="D80" s="5"/>
      <c r="E80" s="2"/>
      <c r="F80" s="5"/>
      <c r="G80" s="2"/>
      <c r="H80" s="33"/>
    </row>
    <row r="81" spans="2:8" outlineLevel="1" x14ac:dyDescent="0.25">
      <c r="B81" t="e">
        <f ca="1">_xll.OneStop.ReportPlayer.OSRFunctions.OSRGet("d_Account","Code")</f>
        <v>#NAME?</v>
      </c>
      <c r="C81" t="e">
        <f ca="1">_xll.OneStop.ReportPlayer.OSRFunctions.OSRGet("d_Account","Description")</f>
        <v>#NAME?</v>
      </c>
      <c r="D81" s="5">
        <f ca="1">IFERROR(_xll.OneStop.ReportPlayer.OSRFunctions.OSRGet("GL_F_Trans","Value1"),0)</f>
        <v>0</v>
      </c>
      <c r="E81" s="4">
        <f ca="1">IFERROR(D81/D$11,0)</f>
        <v>0</v>
      </c>
      <c r="F81" s="5" t="e">
        <f ca="1">SUM(_xll.OneStop.ReportPlayer.OSRFunctions.OSRRef(D81))</f>
        <v>#NAME?</v>
      </c>
      <c r="G81" s="4">
        <f ca="1">IFERROR(F81/F$11,0)</f>
        <v>0</v>
      </c>
      <c r="H81" s="28"/>
    </row>
    <row r="82" spans="2:8" ht="7.5" customHeight="1" x14ac:dyDescent="0.25">
      <c r="D82" s="5"/>
      <c r="E82" s="2"/>
      <c r="F82" s="5"/>
      <c r="G82" s="2"/>
      <c r="H82" s="28"/>
    </row>
    <row r="83" spans="2:8" x14ac:dyDescent="0.25">
      <c r="B83" s="30"/>
      <c r="C83" s="31" t="s">
        <v>10</v>
      </c>
      <c r="D83" s="3">
        <f ca="1">SUM(D81:D82)</f>
        <v>0</v>
      </c>
      <c r="E83" s="1">
        <f ca="1">IFERROR(D83/D$11,0)</f>
        <v>0</v>
      </c>
      <c r="F83" s="3" t="e">
        <f ca="1">SUM(_xll.OneStop.ReportPlayer.OSRFunctions.OSRRef(D83))</f>
        <v>#NAME?</v>
      </c>
      <c r="G83" s="1">
        <f ca="1">IFERROR(F83/F$11,0)</f>
        <v>0</v>
      </c>
      <c r="H83" s="28"/>
    </row>
    <row r="84" spans="2:8" s="29" customFormat="1" outlineLevel="1" x14ac:dyDescent="0.25">
      <c r="B84" s="30"/>
      <c r="C84" s="37"/>
      <c r="D84" s="8"/>
      <c r="E84" s="16"/>
      <c r="F84" s="8"/>
      <c r="G84" s="16"/>
      <c r="H84" s="33"/>
    </row>
    <row r="85" spans="2:8" outlineLevel="1" x14ac:dyDescent="0.25">
      <c r="B85" t="e">
        <f ca="1">_xll.OneStop.ReportPlayer.OSRFunctions.OSRGet("d_Account","Code")</f>
        <v>#NAME?</v>
      </c>
      <c r="C85" t="e">
        <f ca="1">_xll.OneStop.ReportPlayer.OSRFunctions.OSRGet("d_Account","Description")</f>
        <v>#NAME?</v>
      </c>
      <c r="D85" s="5">
        <f ca="1">IFERROR(_xll.OneStop.ReportPlayer.OSRFunctions.OSRGet("GL_F_Trans","Value1"),0)</f>
        <v>0</v>
      </c>
      <c r="E85" s="4">
        <f ca="1">IFERROR(D85/D$11,0)</f>
        <v>0</v>
      </c>
      <c r="F85" s="5" t="e">
        <f ca="1">SUM(_xll.OneStop.ReportPlayer.OSRFunctions.OSRRef(D85))</f>
        <v>#NAME?</v>
      </c>
      <c r="G85" s="4">
        <f ca="1">IFERROR(F85/F$11,0)</f>
        <v>0</v>
      </c>
      <c r="H85" s="28"/>
    </row>
    <row r="86" spans="2:8" ht="7.5" customHeight="1" x14ac:dyDescent="0.25">
      <c r="D86" s="5"/>
      <c r="E86" s="2"/>
      <c r="F86" s="5"/>
      <c r="G86" s="2"/>
      <c r="H86" s="28"/>
    </row>
    <row r="87" spans="2:8" x14ac:dyDescent="0.25">
      <c r="B87" s="30"/>
      <c r="C87" s="31" t="s">
        <v>17</v>
      </c>
      <c r="D87" s="3">
        <f ca="1">SUM(D85:D86)</f>
        <v>0</v>
      </c>
      <c r="E87" s="1">
        <f ca="1">IFERROR(D87/D$11,0)</f>
        <v>0</v>
      </c>
      <c r="F87" s="3" t="e">
        <f ca="1">SUM(_xll.OneStop.ReportPlayer.OSRFunctions.OSRRef(D87))</f>
        <v>#NAME?</v>
      </c>
      <c r="G87" s="1">
        <f ca="1">IFERROR(F87/F$11,0)</f>
        <v>0</v>
      </c>
      <c r="H87" s="28"/>
    </row>
    <row r="88" spans="2:8" s="29" customFormat="1" x14ac:dyDescent="0.25">
      <c r="D88" s="5"/>
      <c r="E88" s="2"/>
      <c r="F88" s="5"/>
      <c r="G88" s="2"/>
      <c r="H88" s="33"/>
    </row>
    <row r="89" spans="2:8" collapsed="1" x14ac:dyDescent="0.25">
      <c r="C89" s="34" t="s">
        <v>13</v>
      </c>
      <c r="D89" s="13">
        <f ca="1">SUM(D83,D75,D71,D67,D63,D87,D79)</f>
        <v>0</v>
      </c>
      <c r="E89" s="12">
        <f ca="1">IFERROR(D89/D$11,0)</f>
        <v>0</v>
      </c>
      <c r="F89" s="13" t="e">
        <f ca="1">SUM(F83,F75,F71,F67,F63,F87,F79)</f>
        <v>#NAME?</v>
      </c>
      <c r="G89" s="12">
        <f ca="1">IFERROR(F89/F$11,0)</f>
        <v>0</v>
      </c>
      <c r="H89" s="48"/>
    </row>
    <row r="90" spans="2:8" x14ac:dyDescent="0.25">
      <c r="D90" s="5"/>
      <c r="E90" s="2"/>
      <c r="F90" s="5"/>
      <c r="G90" s="2"/>
      <c r="H90" s="28"/>
    </row>
    <row r="91" spans="2:8" ht="18.75" x14ac:dyDescent="0.3">
      <c r="B91" s="38" t="s">
        <v>14</v>
      </c>
      <c r="D91" s="5"/>
      <c r="E91" s="2"/>
      <c r="F91" s="5"/>
      <c r="G91" s="2"/>
      <c r="H91" s="28"/>
    </row>
    <row r="92" spans="2:8" outlineLevel="1" x14ac:dyDescent="0.25">
      <c r="D92" s="5"/>
      <c r="E92" s="2"/>
      <c r="F92" s="5"/>
      <c r="G92" s="2"/>
      <c r="H92" s="28"/>
    </row>
    <row r="93" spans="2:8" outlineLevel="1" x14ac:dyDescent="0.25">
      <c r="B93" t="e">
        <f ca="1">_xll.OneStop.ReportPlayer.OSRFunctions.OSRGet("d_Account","Code")</f>
        <v>#NAME?</v>
      </c>
      <c r="C93" t="e">
        <f ca="1">_xll.OneStop.ReportPlayer.OSRFunctions.OSRGet("d_Account","Description")</f>
        <v>#NAME?</v>
      </c>
      <c r="D93" s="5">
        <f ca="1">IFERROR(_xll.OneStop.ReportPlayer.OSRFunctions.OSRGet("GL_F_Trans","Value1"),0)</f>
        <v>0</v>
      </c>
      <c r="E93" s="4">
        <f t="shared" ref="E93:E94" ca="1" si="6">IFERROR(D93/D$11,0)</f>
        <v>0</v>
      </c>
      <c r="F93" s="5" t="e">
        <f ca="1">SUM(_xll.OneStop.ReportPlayer.OSRFunctions.OSRRef(D93))</f>
        <v>#NAME?</v>
      </c>
      <c r="G93" s="4">
        <f t="shared" ref="G93:G94" ca="1" si="7">IFERROR(F93/F$11,0)</f>
        <v>0</v>
      </c>
      <c r="H93" s="28"/>
    </row>
    <row r="94" spans="2:8" x14ac:dyDescent="0.25">
      <c r="C94" s="31" t="e">
        <f ca="1">"TOTAL " &amp; _xll.OneStop.ReportPlayer.OSRFunctions.OSRGet("tr_Account","ParentDescription")</f>
        <v>#NAME?</v>
      </c>
      <c r="D94" s="3" t="e">
        <f ca="1">SUM(_xll.OneStop.ReportPlayer.OSRFunctions.OSRRef(D93))</f>
        <v>#NAME?</v>
      </c>
      <c r="E94" s="1">
        <f t="shared" ca="1" si="6"/>
        <v>0</v>
      </c>
      <c r="F94" s="3" t="e">
        <f ca="1">SUM(_xll.OneStop.ReportPlayer.OSRFunctions.OSRRef(F93))</f>
        <v>#NAME?</v>
      </c>
      <c r="G94" s="1">
        <f t="shared" ca="1" si="7"/>
        <v>0</v>
      </c>
      <c r="H94" s="28"/>
    </row>
    <row r="95" spans="2:8" x14ac:dyDescent="0.25">
      <c r="C95" s="37"/>
      <c r="D95" s="8"/>
      <c r="E95" s="16"/>
      <c r="F95" s="8"/>
      <c r="G95" s="16"/>
      <c r="H95" s="28"/>
    </row>
    <row r="96" spans="2:8" collapsed="1" x14ac:dyDescent="0.25">
      <c r="C96" s="49" t="s">
        <v>16</v>
      </c>
      <c r="D96" s="13" t="e">
        <f ca="1">SUM(_xll.OneStop.ReportPlayer.OSRFunctions.OSRRef(D94))</f>
        <v>#NAME?</v>
      </c>
      <c r="E96" s="12">
        <f ca="1">IFERROR(D96/D$11,0)</f>
        <v>0</v>
      </c>
      <c r="F96" s="13" t="e">
        <f ca="1">SUM(_xll.OneStop.ReportPlayer.OSRFunctions.OSRRef(F94))</f>
        <v>#NAME?</v>
      </c>
      <c r="G96" s="12">
        <f ca="1">IFERROR(F96/F$11,0)</f>
        <v>0</v>
      </c>
      <c r="H96" s="33"/>
    </row>
    <row r="97" spans="3:8" x14ac:dyDescent="0.25">
      <c r="D97" s="11"/>
      <c r="E97" s="9"/>
      <c r="F97" s="11"/>
      <c r="G97" s="9"/>
    </row>
    <row r="98" spans="3:8" x14ac:dyDescent="0.25">
      <c r="C98" s="34" t="s">
        <v>21</v>
      </c>
      <c r="D98" s="13" t="e">
        <f ca="1">D56-D89-D96</f>
        <v>#NAME?</v>
      </c>
      <c r="E98" s="12">
        <f ca="1">IFERROR(D98/D$11,0)</f>
        <v>0</v>
      </c>
      <c r="F98" s="13" t="e">
        <f ca="1">F56-F89-F96</f>
        <v>#NAME?</v>
      </c>
      <c r="G98" s="12">
        <f ca="1">IFERROR(F98/F$11,0)</f>
        <v>0</v>
      </c>
      <c r="H98" s="29"/>
    </row>
  </sheetData>
  <mergeCells count="7">
    <mergeCell ref="F9:G9"/>
    <mergeCell ref="B2:G2"/>
    <mergeCell ref="B3:G3"/>
    <mergeCell ref="B4:G4"/>
    <mergeCell ref="B5:G5"/>
    <mergeCell ref="D7:E7"/>
    <mergeCell ref="D8:E8"/>
  </mergeCells>
  <pageMargins left="0.15" right="0.15" top="0.5" bottom="0.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542</vt:i4>
      </vt:variant>
    </vt:vector>
  </HeadingPairs>
  <TitlesOfParts>
    <vt:vector size="548" baseType="lpstr">
      <vt:lpstr>2445</vt:lpstr>
      <vt:lpstr>Sheet1</vt:lpstr>
      <vt:lpstr>OSR_Sheet1_62B2TS</vt:lpstr>
      <vt:lpstr>OSR_Sheet1_b...014d1a46_1UJHGWC</vt:lpstr>
      <vt:lpstr>Sheet2</vt:lpstr>
      <vt:lpstr>Sheet3</vt:lpstr>
      <vt:lpstr>'2445'!OSR_GearWriter_0</vt:lpstr>
      <vt:lpstr>'2445'!OSR_GearWriter_1</vt:lpstr>
      <vt:lpstr>'2445'!OSR_GearWriter_2</vt:lpstr>
      <vt:lpstr>'2445'!OSR_GearWriter_3</vt:lpstr>
      <vt:lpstr>'2445'!OSR_GearWriter_4</vt:lpstr>
      <vt:lpstr>'2445'!OSR_GearWriter_5</vt:lpstr>
      <vt:lpstr>'2445'!OSR_GearWriter_6</vt:lpstr>
      <vt:lpstr>'2445'!OSRRefD11_0x_0</vt:lpstr>
      <vt:lpstr>'2445'!OSRRefD13_0x_0</vt:lpstr>
      <vt:lpstr>'2445'!OSRRefD15x_0</vt:lpstr>
      <vt:lpstr>'2445'!OSRRefD17_0x_0</vt:lpstr>
      <vt:lpstr>'2445'!OSRRefD19x_0</vt:lpstr>
      <vt:lpstr>'2445'!OSRRefD21x_0</vt:lpstr>
      <vt:lpstr>'2445'!OSRRefD23_0x_0</vt:lpstr>
      <vt:lpstr>'2445'!OSRRefD25x_0</vt:lpstr>
      <vt:lpstr>'2445'!OSRRefD26_0x_0</vt:lpstr>
      <vt:lpstr>'2445'!OSRRefD28x_0</vt:lpstr>
      <vt:lpstr>'2445'!OSRRefD29_0x_0</vt:lpstr>
      <vt:lpstr>'2445'!OSRRefD31x_0</vt:lpstr>
      <vt:lpstr>'2445'!OSRRefD33x_0</vt:lpstr>
      <vt:lpstr>'2445'!OSRRefD35_0x_0</vt:lpstr>
      <vt:lpstr>'2445'!OSRRefD35_1x_0</vt:lpstr>
      <vt:lpstr>'2445'!OSRRefD36_0x_0</vt:lpstr>
      <vt:lpstr>'2445'!OSRRefD37_0x_0</vt:lpstr>
      <vt:lpstr>'2445'!OSRRefD39x_0</vt:lpstr>
      <vt:lpstr>'2445'!OSRRefD41x_0</vt:lpstr>
      <vt:lpstr>'2445'!OSRRefD43_0x_0</vt:lpstr>
      <vt:lpstr>'2445'!OSRRefD45x_0</vt:lpstr>
      <vt:lpstr>'2445'!OSRRefD47_0x_0</vt:lpstr>
      <vt:lpstr>'2445'!OSRRefD49x_0</vt:lpstr>
      <vt:lpstr>'2445'!OSRRefD52x_0</vt:lpstr>
      <vt:lpstr>'2445'!OSRRefD55x_0</vt:lpstr>
      <vt:lpstr>'2445'!OSRRefD56x_0</vt:lpstr>
      <vt:lpstr>'2445'!OSRRefD61_0x_0</vt:lpstr>
      <vt:lpstr>'2445'!OSRRefD63x_0</vt:lpstr>
      <vt:lpstr>'2445'!OSRRefD65_0x_0</vt:lpstr>
      <vt:lpstr>'2445'!OSRRefD67x_0</vt:lpstr>
      <vt:lpstr>'2445'!OSRRefD69_0x_0</vt:lpstr>
      <vt:lpstr>'2445'!OSRRefD69_1x_0</vt:lpstr>
      <vt:lpstr>'2445'!OSRRefD71x_0</vt:lpstr>
      <vt:lpstr>'2445'!OSRRefD75x_0</vt:lpstr>
      <vt:lpstr>'2445'!OSRRefD79x_0</vt:lpstr>
      <vt:lpstr>'2445'!OSRRefD81_0x_0</vt:lpstr>
      <vt:lpstr>'2445'!OSRRefD83x_0</vt:lpstr>
      <vt:lpstr>'2445'!OSRRefD85_0x_0</vt:lpstr>
      <vt:lpstr>'2445'!OSRRefD87x_0</vt:lpstr>
      <vt:lpstr>'2445'!OSRRefD93_0_0x_0</vt:lpstr>
      <vt:lpstr>'2445'!OSRRefD93_0_1x_0</vt:lpstr>
      <vt:lpstr>'2445'!OSRRefD93_0x_0_0</vt:lpstr>
      <vt:lpstr>'2445'!OSRRefD93_0x_0_1</vt:lpstr>
      <vt:lpstr>'2445'!OSRRefD93_0x_0_10</vt:lpstr>
      <vt:lpstr>'2445'!OSRRefD93_0x_0_11</vt:lpstr>
      <vt:lpstr>'2445'!OSRRefD93_0x_0_12</vt:lpstr>
      <vt:lpstr>'2445'!OSRRefD93_0x_0_13</vt:lpstr>
      <vt:lpstr>'2445'!OSRRefD93_0x_0_14</vt:lpstr>
      <vt:lpstr>'2445'!OSRRefD93_0x_0_15</vt:lpstr>
      <vt:lpstr>'2445'!OSRRefD93_0x_0_16</vt:lpstr>
      <vt:lpstr>'2445'!OSRRefD93_0x_0_17</vt:lpstr>
      <vt:lpstr>'2445'!OSRRefD93_0x_0_18</vt:lpstr>
      <vt:lpstr>'2445'!OSRRefD93_0x_0_19</vt:lpstr>
      <vt:lpstr>'2445'!OSRRefD93_0x_0_2</vt:lpstr>
      <vt:lpstr>'2445'!OSRRefD93_0x_0_20</vt:lpstr>
      <vt:lpstr>'2445'!OSRRefD93_0x_0_21</vt:lpstr>
      <vt:lpstr>'2445'!OSRRefD93_0x_0_22</vt:lpstr>
      <vt:lpstr>'2445'!OSRRefD93_0x_0_23</vt:lpstr>
      <vt:lpstr>'2445'!OSRRefD93_0x_0_24</vt:lpstr>
      <vt:lpstr>'2445'!OSRRefD93_0x_0_25</vt:lpstr>
      <vt:lpstr>'2445'!OSRRefD93_0x_0_26</vt:lpstr>
      <vt:lpstr>'2445'!OSRRefD93_0x_0_27</vt:lpstr>
      <vt:lpstr>'2445'!OSRRefD93_0x_0_28</vt:lpstr>
      <vt:lpstr>'2445'!OSRRefD93_0x_0_29</vt:lpstr>
      <vt:lpstr>'2445'!OSRRefD93_0x_0_3</vt:lpstr>
      <vt:lpstr>'2445'!OSRRefD93_0x_0_30</vt:lpstr>
      <vt:lpstr>'2445'!OSRRefD93_0x_0_31</vt:lpstr>
      <vt:lpstr>'2445'!OSRRefD93_0x_0_32</vt:lpstr>
      <vt:lpstr>'2445'!OSRRefD93_0x_0_33</vt:lpstr>
      <vt:lpstr>'2445'!OSRRefD93_0x_0_34</vt:lpstr>
      <vt:lpstr>'2445'!OSRRefD93_0x_0_35</vt:lpstr>
      <vt:lpstr>'2445'!OSRRefD93_0x_0_36</vt:lpstr>
      <vt:lpstr>'2445'!OSRRefD93_0x_0_37</vt:lpstr>
      <vt:lpstr>'2445'!OSRRefD93_0x_0_38</vt:lpstr>
      <vt:lpstr>'2445'!OSRRefD93_0x_0_39</vt:lpstr>
      <vt:lpstr>'2445'!OSRRefD93_0x_0_4</vt:lpstr>
      <vt:lpstr>'2445'!OSRRefD93_0x_0_40</vt:lpstr>
      <vt:lpstr>'2445'!OSRRefD93_0x_0_41</vt:lpstr>
      <vt:lpstr>'2445'!OSRRefD93_0x_0_42</vt:lpstr>
      <vt:lpstr>'2445'!OSRRefD93_0x_0_43</vt:lpstr>
      <vt:lpstr>'2445'!OSRRefD93_0x_0_44</vt:lpstr>
      <vt:lpstr>'2445'!OSRRefD93_0x_0_45</vt:lpstr>
      <vt:lpstr>'2445'!OSRRefD93_0x_0_46</vt:lpstr>
      <vt:lpstr>'2445'!OSRRefD93_0x_0_47</vt:lpstr>
      <vt:lpstr>'2445'!OSRRefD93_0x_0_48</vt:lpstr>
      <vt:lpstr>'2445'!OSRRefD93_0x_0_49</vt:lpstr>
      <vt:lpstr>'2445'!OSRRefD93_0x_0_5</vt:lpstr>
      <vt:lpstr>'2445'!OSRRefD93_0x_0_50</vt:lpstr>
      <vt:lpstr>'2445'!OSRRefD93_0x_0_51</vt:lpstr>
      <vt:lpstr>'2445'!OSRRefD93_0x_0_6</vt:lpstr>
      <vt:lpstr>'2445'!OSRRefD93_0x_0_7</vt:lpstr>
      <vt:lpstr>'2445'!OSRRefD93_0x_0_8</vt:lpstr>
      <vt:lpstr>'2445'!OSRRefD93_0x_0_9</vt:lpstr>
      <vt:lpstr>'2445'!OSRRefD93_1_0x_0</vt:lpstr>
      <vt:lpstr>'2445'!OSRRefD93_1x_0_0</vt:lpstr>
      <vt:lpstr>'2445'!OSRRefD93_1x_0_1</vt:lpstr>
      <vt:lpstr>'2445'!OSRRefD93_1x_0_10</vt:lpstr>
      <vt:lpstr>'2445'!OSRRefD93_1x_0_11</vt:lpstr>
      <vt:lpstr>'2445'!OSRRefD93_1x_0_12</vt:lpstr>
      <vt:lpstr>'2445'!OSRRefD93_1x_0_13</vt:lpstr>
      <vt:lpstr>'2445'!OSRRefD93_1x_0_14</vt:lpstr>
      <vt:lpstr>'2445'!OSRRefD93_1x_0_15</vt:lpstr>
      <vt:lpstr>'2445'!OSRRefD93_1x_0_16</vt:lpstr>
      <vt:lpstr>'2445'!OSRRefD93_1x_0_17</vt:lpstr>
      <vt:lpstr>'2445'!OSRRefD93_1x_0_18</vt:lpstr>
      <vt:lpstr>'2445'!OSRRefD93_1x_0_19</vt:lpstr>
      <vt:lpstr>'2445'!OSRRefD93_1x_0_2</vt:lpstr>
      <vt:lpstr>'2445'!OSRRefD93_1x_0_20</vt:lpstr>
      <vt:lpstr>'2445'!OSRRefD93_1x_0_21</vt:lpstr>
      <vt:lpstr>'2445'!OSRRefD93_1x_0_22</vt:lpstr>
      <vt:lpstr>'2445'!OSRRefD93_1x_0_23</vt:lpstr>
      <vt:lpstr>'2445'!OSRRefD93_1x_0_24</vt:lpstr>
      <vt:lpstr>'2445'!OSRRefD93_1x_0_25</vt:lpstr>
      <vt:lpstr>'2445'!OSRRefD93_1x_0_26</vt:lpstr>
      <vt:lpstr>'2445'!OSRRefD93_1x_0_27</vt:lpstr>
      <vt:lpstr>'2445'!OSRRefD93_1x_0_28</vt:lpstr>
      <vt:lpstr>'2445'!OSRRefD93_1x_0_29</vt:lpstr>
      <vt:lpstr>'2445'!OSRRefD93_1x_0_3</vt:lpstr>
      <vt:lpstr>'2445'!OSRRefD93_1x_0_30</vt:lpstr>
      <vt:lpstr>'2445'!OSRRefD93_1x_0_31</vt:lpstr>
      <vt:lpstr>'2445'!OSRRefD93_1x_0_32</vt:lpstr>
      <vt:lpstr>'2445'!OSRRefD93_1x_0_33</vt:lpstr>
      <vt:lpstr>'2445'!OSRRefD93_1x_0_34</vt:lpstr>
      <vt:lpstr>'2445'!OSRRefD93_1x_0_35</vt:lpstr>
      <vt:lpstr>'2445'!OSRRefD93_1x_0_36</vt:lpstr>
      <vt:lpstr>'2445'!OSRRefD93_1x_0_37</vt:lpstr>
      <vt:lpstr>'2445'!OSRRefD93_1x_0_38</vt:lpstr>
      <vt:lpstr>'2445'!OSRRefD93_1x_0_39</vt:lpstr>
      <vt:lpstr>'2445'!OSRRefD93_1x_0_4</vt:lpstr>
      <vt:lpstr>'2445'!OSRRefD93_1x_0_40</vt:lpstr>
      <vt:lpstr>'2445'!OSRRefD93_1x_0_41</vt:lpstr>
      <vt:lpstr>'2445'!OSRRefD93_1x_0_42</vt:lpstr>
      <vt:lpstr>'2445'!OSRRefD93_1x_0_43</vt:lpstr>
      <vt:lpstr>'2445'!OSRRefD93_1x_0_44</vt:lpstr>
      <vt:lpstr>'2445'!OSRRefD93_1x_0_45</vt:lpstr>
      <vt:lpstr>'2445'!OSRRefD93_1x_0_46</vt:lpstr>
      <vt:lpstr>'2445'!OSRRefD93_1x_0_47</vt:lpstr>
      <vt:lpstr>'2445'!OSRRefD93_1x_0_48</vt:lpstr>
      <vt:lpstr>'2445'!OSRRefD93_1x_0_49</vt:lpstr>
      <vt:lpstr>'2445'!OSRRefD93_1x_0_5</vt:lpstr>
      <vt:lpstr>'2445'!OSRRefD93_1x_0_50</vt:lpstr>
      <vt:lpstr>'2445'!OSRRefD93_1x_0_51</vt:lpstr>
      <vt:lpstr>'2445'!OSRRefD93_1x_0_6</vt:lpstr>
      <vt:lpstr>'2445'!OSRRefD93_1x_0_7</vt:lpstr>
      <vt:lpstr>'2445'!OSRRefD93_1x_0_8</vt:lpstr>
      <vt:lpstr>'2445'!OSRRefD93_1x_0_9</vt:lpstr>
      <vt:lpstr>'2445'!OSRRefD93_2_0x_0</vt:lpstr>
      <vt:lpstr>'2445'!OSRRefD93_2x_0_0</vt:lpstr>
      <vt:lpstr>'2445'!OSRRefD93_2x_0_1</vt:lpstr>
      <vt:lpstr>'2445'!OSRRefD93_2x_0_10</vt:lpstr>
      <vt:lpstr>'2445'!OSRRefD93_2x_0_11</vt:lpstr>
      <vt:lpstr>'2445'!OSRRefD93_2x_0_12</vt:lpstr>
      <vt:lpstr>'2445'!OSRRefD93_2x_0_13</vt:lpstr>
      <vt:lpstr>'2445'!OSRRefD93_2x_0_14</vt:lpstr>
      <vt:lpstr>'2445'!OSRRefD93_2x_0_15</vt:lpstr>
      <vt:lpstr>'2445'!OSRRefD93_2x_0_16</vt:lpstr>
      <vt:lpstr>'2445'!OSRRefD93_2x_0_17</vt:lpstr>
      <vt:lpstr>'2445'!OSRRefD93_2x_0_18</vt:lpstr>
      <vt:lpstr>'2445'!OSRRefD93_2x_0_19</vt:lpstr>
      <vt:lpstr>'2445'!OSRRefD93_2x_0_2</vt:lpstr>
      <vt:lpstr>'2445'!OSRRefD93_2x_0_20</vt:lpstr>
      <vt:lpstr>'2445'!OSRRefD93_2x_0_21</vt:lpstr>
      <vt:lpstr>'2445'!OSRRefD93_2x_0_22</vt:lpstr>
      <vt:lpstr>'2445'!OSRRefD93_2x_0_23</vt:lpstr>
      <vt:lpstr>'2445'!OSRRefD93_2x_0_24</vt:lpstr>
      <vt:lpstr>'2445'!OSRRefD93_2x_0_25</vt:lpstr>
      <vt:lpstr>'2445'!OSRRefD93_2x_0_26</vt:lpstr>
      <vt:lpstr>'2445'!OSRRefD93_2x_0_27</vt:lpstr>
      <vt:lpstr>'2445'!OSRRefD93_2x_0_28</vt:lpstr>
      <vt:lpstr>'2445'!OSRRefD93_2x_0_29</vt:lpstr>
      <vt:lpstr>'2445'!OSRRefD93_2x_0_3</vt:lpstr>
      <vt:lpstr>'2445'!OSRRefD93_2x_0_30</vt:lpstr>
      <vt:lpstr>'2445'!OSRRefD93_2x_0_31</vt:lpstr>
      <vt:lpstr>'2445'!OSRRefD93_2x_0_32</vt:lpstr>
      <vt:lpstr>'2445'!OSRRefD93_2x_0_33</vt:lpstr>
      <vt:lpstr>'2445'!OSRRefD93_2x_0_34</vt:lpstr>
      <vt:lpstr>'2445'!OSRRefD93_2x_0_35</vt:lpstr>
      <vt:lpstr>'2445'!OSRRefD93_2x_0_36</vt:lpstr>
      <vt:lpstr>'2445'!OSRRefD93_2x_0_37</vt:lpstr>
      <vt:lpstr>'2445'!OSRRefD93_2x_0_38</vt:lpstr>
      <vt:lpstr>'2445'!OSRRefD93_2x_0_39</vt:lpstr>
      <vt:lpstr>'2445'!OSRRefD93_2x_0_4</vt:lpstr>
      <vt:lpstr>'2445'!OSRRefD93_2x_0_40</vt:lpstr>
      <vt:lpstr>'2445'!OSRRefD93_2x_0_41</vt:lpstr>
      <vt:lpstr>'2445'!OSRRefD93_2x_0_42</vt:lpstr>
      <vt:lpstr>'2445'!OSRRefD93_2x_0_43</vt:lpstr>
      <vt:lpstr>'2445'!OSRRefD93_2x_0_44</vt:lpstr>
      <vt:lpstr>'2445'!OSRRefD93_2x_0_45</vt:lpstr>
      <vt:lpstr>'2445'!OSRRefD93_2x_0_46</vt:lpstr>
      <vt:lpstr>'2445'!OSRRefD93_2x_0_47</vt:lpstr>
      <vt:lpstr>'2445'!OSRRefD93_2x_0_48</vt:lpstr>
      <vt:lpstr>'2445'!OSRRefD93_2x_0_49</vt:lpstr>
      <vt:lpstr>'2445'!OSRRefD93_2x_0_5</vt:lpstr>
      <vt:lpstr>'2445'!OSRRefD93_2x_0_50</vt:lpstr>
      <vt:lpstr>'2445'!OSRRefD93_2x_0_51</vt:lpstr>
      <vt:lpstr>'2445'!OSRRefD93_2x_0_6</vt:lpstr>
      <vt:lpstr>'2445'!OSRRefD93_2x_0_7</vt:lpstr>
      <vt:lpstr>'2445'!OSRRefD93_2x_0_8</vt:lpstr>
      <vt:lpstr>'2445'!OSRRefD93_2x_0_9</vt:lpstr>
      <vt:lpstr>'2445'!OSRRefD93_3_0x_0</vt:lpstr>
      <vt:lpstr>'2445'!OSRRefD93_3x_0_0</vt:lpstr>
      <vt:lpstr>'2445'!OSRRefD93_3x_0_1</vt:lpstr>
      <vt:lpstr>'2445'!OSRRefD93_3x_0_10</vt:lpstr>
      <vt:lpstr>'2445'!OSRRefD93_3x_0_11</vt:lpstr>
      <vt:lpstr>'2445'!OSRRefD93_3x_0_12</vt:lpstr>
      <vt:lpstr>'2445'!OSRRefD93_3x_0_13</vt:lpstr>
      <vt:lpstr>'2445'!OSRRefD93_3x_0_14</vt:lpstr>
      <vt:lpstr>'2445'!OSRRefD93_3x_0_15</vt:lpstr>
      <vt:lpstr>'2445'!OSRRefD93_3x_0_16</vt:lpstr>
      <vt:lpstr>'2445'!OSRRefD93_3x_0_17</vt:lpstr>
      <vt:lpstr>'2445'!OSRRefD93_3x_0_18</vt:lpstr>
      <vt:lpstr>'2445'!OSRRefD93_3x_0_19</vt:lpstr>
      <vt:lpstr>'2445'!OSRRefD93_3x_0_2</vt:lpstr>
      <vt:lpstr>'2445'!OSRRefD93_3x_0_20</vt:lpstr>
      <vt:lpstr>'2445'!OSRRefD93_3x_0_21</vt:lpstr>
      <vt:lpstr>'2445'!OSRRefD93_3x_0_22</vt:lpstr>
      <vt:lpstr>'2445'!OSRRefD93_3x_0_23</vt:lpstr>
      <vt:lpstr>'2445'!OSRRefD93_3x_0_24</vt:lpstr>
      <vt:lpstr>'2445'!OSRRefD93_3x_0_25</vt:lpstr>
      <vt:lpstr>'2445'!OSRRefD93_3x_0_26</vt:lpstr>
      <vt:lpstr>'2445'!OSRRefD93_3x_0_27</vt:lpstr>
      <vt:lpstr>'2445'!OSRRefD93_3x_0_28</vt:lpstr>
      <vt:lpstr>'2445'!OSRRefD93_3x_0_29</vt:lpstr>
      <vt:lpstr>'2445'!OSRRefD93_3x_0_3</vt:lpstr>
      <vt:lpstr>'2445'!OSRRefD93_3x_0_30</vt:lpstr>
      <vt:lpstr>'2445'!OSRRefD93_3x_0_31</vt:lpstr>
      <vt:lpstr>'2445'!OSRRefD93_3x_0_32</vt:lpstr>
      <vt:lpstr>'2445'!OSRRefD93_3x_0_33</vt:lpstr>
      <vt:lpstr>'2445'!OSRRefD93_3x_0_34</vt:lpstr>
      <vt:lpstr>'2445'!OSRRefD93_3x_0_35</vt:lpstr>
      <vt:lpstr>'2445'!OSRRefD93_3x_0_36</vt:lpstr>
      <vt:lpstr>'2445'!OSRRefD93_3x_0_37</vt:lpstr>
      <vt:lpstr>'2445'!OSRRefD93_3x_0_38</vt:lpstr>
      <vt:lpstr>'2445'!OSRRefD93_3x_0_39</vt:lpstr>
      <vt:lpstr>'2445'!OSRRefD93_3x_0_4</vt:lpstr>
      <vt:lpstr>'2445'!OSRRefD93_3x_0_40</vt:lpstr>
      <vt:lpstr>'2445'!OSRRefD93_3x_0_41</vt:lpstr>
      <vt:lpstr>'2445'!OSRRefD93_3x_0_42</vt:lpstr>
      <vt:lpstr>'2445'!OSRRefD93_3x_0_43</vt:lpstr>
      <vt:lpstr>'2445'!OSRRefD93_3x_0_44</vt:lpstr>
      <vt:lpstr>'2445'!OSRRefD93_3x_0_45</vt:lpstr>
      <vt:lpstr>'2445'!OSRRefD93_3x_0_46</vt:lpstr>
      <vt:lpstr>'2445'!OSRRefD93_3x_0_47</vt:lpstr>
      <vt:lpstr>'2445'!OSRRefD93_3x_0_48</vt:lpstr>
      <vt:lpstr>'2445'!OSRRefD93_3x_0_49</vt:lpstr>
      <vt:lpstr>'2445'!OSRRefD93_3x_0_5</vt:lpstr>
      <vt:lpstr>'2445'!OSRRefD93_3x_0_50</vt:lpstr>
      <vt:lpstr>'2445'!OSRRefD93_3x_0_51</vt:lpstr>
      <vt:lpstr>'2445'!OSRRefD93_3x_0_6</vt:lpstr>
      <vt:lpstr>'2445'!OSRRefD93_3x_0_7</vt:lpstr>
      <vt:lpstr>'2445'!OSRRefD93_3x_0_8</vt:lpstr>
      <vt:lpstr>'2445'!OSRRefD93_3x_0_9</vt:lpstr>
      <vt:lpstr>'2445'!OSRRefD93_4_0x_0</vt:lpstr>
      <vt:lpstr>'2445'!OSRRefD93_4_1x_0</vt:lpstr>
      <vt:lpstr>'2445'!OSRRefD93_4_2x_0</vt:lpstr>
      <vt:lpstr>'2445'!OSRRefD93_4x_0_0</vt:lpstr>
      <vt:lpstr>'2445'!OSRRefD93_4x_0_1</vt:lpstr>
      <vt:lpstr>'2445'!OSRRefD93_4x_0_10</vt:lpstr>
      <vt:lpstr>'2445'!OSRRefD93_4x_0_11</vt:lpstr>
      <vt:lpstr>'2445'!OSRRefD93_4x_0_12</vt:lpstr>
      <vt:lpstr>'2445'!OSRRefD93_4x_0_13</vt:lpstr>
      <vt:lpstr>'2445'!OSRRefD93_4x_0_14</vt:lpstr>
      <vt:lpstr>'2445'!OSRRefD93_4x_0_15</vt:lpstr>
      <vt:lpstr>'2445'!OSRRefD93_4x_0_16</vt:lpstr>
      <vt:lpstr>'2445'!OSRRefD93_4x_0_17</vt:lpstr>
      <vt:lpstr>'2445'!OSRRefD93_4x_0_18</vt:lpstr>
      <vt:lpstr>'2445'!OSRRefD93_4x_0_19</vt:lpstr>
      <vt:lpstr>'2445'!OSRRefD93_4x_0_2</vt:lpstr>
      <vt:lpstr>'2445'!OSRRefD93_4x_0_20</vt:lpstr>
      <vt:lpstr>'2445'!OSRRefD93_4x_0_21</vt:lpstr>
      <vt:lpstr>'2445'!OSRRefD93_4x_0_22</vt:lpstr>
      <vt:lpstr>'2445'!OSRRefD93_4x_0_23</vt:lpstr>
      <vt:lpstr>'2445'!OSRRefD93_4x_0_24</vt:lpstr>
      <vt:lpstr>'2445'!OSRRefD93_4x_0_25</vt:lpstr>
      <vt:lpstr>'2445'!OSRRefD93_4x_0_26</vt:lpstr>
      <vt:lpstr>'2445'!OSRRefD93_4x_0_27</vt:lpstr>
      <vt:lpstr>'2445'!OSRRefD93_4x_0_28</vt:lpstr>
      <vt:lpstr>'2445'!OSRRefD93_4x_0_29</vt:lpstr>
      <vt:lpstr>'2445'!OSRRefD93_4x_0_3</vt:lpstr>
      <vt:lpstr>'2445'!OSRRefD93_4x_0_30</vt:lpstr>
      <vt:lpstr>'2445'!OSRRefD93_4x_0_31</vt:lpstr>
      <vt:lpstr>'2445'!OSRRefD93_4x_0_32</vt:lpstr>
      <vt:lpstr>'2445'!OSRRefD93_4x_0_33</vt:lpstr>
      <vt:lpstr>'2445'!OSRRefD93_4x_0_34</vt:lpstr>
      <vt:lpstr>'2445'!OSRRefD93_4x_0_35</vt:lpstr>
      <vt:lpstr>'2445'!OSRRefD93_4x_0_36</vt:lpstr>
      <vt:lpstr>'2445'!OSRRefD93_4x_0_37</vt:lpstr>
      <vt:lpstr>'2445'!OSRRefD93_4x_0_38</vt:lpstr>
      <vt:lpstr>'2445'!OSRRefD93_4x_0_39</vt:lpstr>
      <vt:lpstr>'2445'!OSRRefD93_4x_0_4</vt:lpstr>
      <vt:lpstr>'2445'!OSRRefD93_4x_0_40</vt:lpstr>
      <vt:lpstr>'2445'!OSRRefD93_4x_0_41</vt:lpstr>
      <vt:lpstr>'2445'!OSRRefD93_4x_0_42</vt:lpstr>
      <vt:lpstr>'2445'!OSRRefD93_4x_0_43</vt:lpstr>
      <vt:lpstr>'2445'!OSRRefD93_4x_0_44</vt:lpstr>
      <vt:lpstr>'2445'!OSRRefD93_4x_0_45</vt:lpstr>
      <vt:lpstr>'2445'!OSRRefD93_4x_0_46</vt:lpstr>
      <vt:lpstr>'2445'!OSRRefD93_4x_0_47</vt:lpstr>
      <vt:lpstr>'2445'!OSRRefD93_4x_0_48</vt:lpstr>
      <vt:lpstr>'2445'!OSRRefD93_4x_0_49</vt:lpstr>
      <vt:lpstr>'2445'!OSRRefD93_4x_0_5</vt:lpstr>
      <vt:lpstr>'2445'!OSRRefD93_4x_0_50</vt:lpstr>
      <vt:lpstr>'2445'!OSRRefD93_4x_0_51</vt:lpstr>
      <vt:lpstr>'2445'!OSRRefD93_4x_0_6</vt:lpstr>
      <vt:lpstr>'2445'!OSRRefD93_4x_0_7</vt:lpstr>
      <vt:lpstr>'2445'!OSRRefD93_4x_0_8</vt:lpstr>
      <vt:lpstr>'2445'!OSRRefD93_4x_0_9</vt:lpstr>
      <vt:lpstr>'2445'!OSRRefD93_5_0x_0</vt:lpstr>
      <vt:lpstr>'2445'!OSRRefD93_5x_0_0</vt:lpstr>
      <vt:lpstr>'2445'!OSRRefD93_5x_0_1</vt:lpstr>
      <vt:lpstr>'2445'!OSRRefD93_5x_0_10</vt:lpstr>
      <vt:lpstr>'2445'!OSRRefD93_5x_0_11</vt:lpstr>
      <vt:lpstr>'2445'!OSRRefD93_5x_0_12</vt:lpstr>
      <vt:lpstr>'2445'!OSRRefD93_5x_0_13</vt:lpstr>
      <vt:lpstr>'2445'!OSRRefD93_5x_0_14</vt:lpstr>
      <vt:lpstr>'2445'!OSRRefD93_5x_0_15</vt:lpstr>
      <vt:lpstr>'2445'!OSRRefD93_5x_0_16</vt:lpstr>
      <vt:lpstr>'2445'!OSRRefD93_5x_0_17</vt:lpstr>
      <vt:lpstr>'2445'!OSRRefD93_5x_0_18</vt:lpstr>
      <vt:lpstr>'2445'!OSRRefD93_5x_0_19</vt:lpstr>
      <vt:lpstr>'2445'!OSRRefD93_5x_0_2</vt:lpstr>
      <vt:lpstr>'2445'!OSRRefD93_5x_0_20</vt:lpstr>
      <vt:lpstr>'2445'!OSRRefD93_5x_0_21</vt:lpstr>
      <vt:lpstr>'2445'!OSRRefD93_5x_0_22</vt:lpstr>
      <vt:lpstr>'2445'!OSRRefD93_5x_0_23</vt:lpstr>
      <vt:lpstr>'2445'!OSRRefD93_5x_0_24</vt:lpstr>
      <vt:lpstr>'2445'!OSRRefD93_5x_0_25</vt:lpstr>
      <vt:lpstr>'2445'!OSRRefD93_5x_0_26</vt:lpstr>
      <vt:lpstr>'2445'!OSRRefD93_5x_0_27</vt:lpstr>
      <vt:lpstr>'2445'!OSRRefD93_5x_0_28</vt:lpstr>
      <vt:lpstr>'2445'!OSRRefD93_5x_0_29</vt:lpstr>
      <vt:lpstr>'2445'!OSRRefD93_5x_0_3</vt:lpstr>
      <vt:lpstr>'2445'!OSRRefD93_5x_0_30</vt:lpstr>
      <vt:lpstr>'2445'!OSRRefD93_5x_0_31</vt:lpstr>
      <vt:lpstr>'2445'!OSRRefD93_5x_0_32</vt:lpstr>
      <vt:lpstr>'2445'!OSRRefD93_5x_0_33</vt:lpstr>
      <vt:lpstr>'2445'!OSRRefD93_5x_0_34</vt:lpstr>
      <vt:lpstr>'2445'!OSRRefD93_5x_0_35</vt:lpstr>
      <vt:lpstr>'2445'!OSRRefD93_5x_0_36</vt:lpstr>
      <vt:lpstr>'2445'!OSRRefD93_5x_0_37</vt:lpstr>
      <vt:lpstr>'2445'!OSRRefD93_5x_0_38</vt:lpstr>
      <vt:lpstr>'2445'!OSRRefD93_5x_0_39</vt:lpstr>
      <vt:lpstr>'2445'!OSRRefD93_5x_0_4</vt:lpstr>
      <vt:lpstr>'2445'!OSRRefD93_5x_0_40</vt:lpstr>
      <vt:lpstr>'2445'!OSRRefD93_5x_0_41</vt:lpstr>
      <vt:lpstr>'2445'!OSRRefD93_5x_0_42</vt:lpstr>
      <vt:lpstr>'2445'!OSRRefD93_5x_0_43</vt:lpstr>
      <vt:lpstr>'2445'!OSRRefD93_5x_0_44</vt:lpstr>
      <vt:lpstr>'2445'!OSRRefD93_5x_0_45</vt:lpstr>
      <vt:lpstr>'2445'!OSRRefD93_5x_0_46</vt:lpstr>
      <vt:lpstr>'2445'!OSRRefD93_5x_0_47</vt:lpstr>
      <vt:lpstr>'2445'!OSRRefD93_5x_0_48</vt:lpstr>
      <vt:lpstr>'2445'!OSRRefD93_5x_0_49</vt:lpstr>
      <vt:lpstr>'2445'!OSRRefD93_5x_0_5</vt:lpstr>
      <vt:lpstr>'2445'!OSRRefD93_5x_0_50</vt:lpstr>
      <vt:lpstr>'2445'!OSRRefD93_5x_0_51</vt:lpstr>
      <vt:lpstr>'2445'!OSRRefD93_5x_0_6</vt:lpstr>
      <vt:lpstr>'2445'!OSRRefD93_5x_0_7</vt:lpstr>
      <vt:lpstr>'2445'!OSRRefD93_5x_0_8</vt:lpstr>
      <vt:lpstr>'2445'!OSRRefD93_5x_0_9</vt:lpstr>
      <vt:lpstr>'2445'!OSRRefD93_6_0x_0</vt:lpstr>
      <vt:lpstr>'2445'!OSRRefD93_6x_0_0</vt:lpstr>
      <vt:lpstr>'2445'!OSRRefD93_6x_0_1</vt:lpstr>
      <vt:lpstr>'2445'!OSRRefD93_6x_0_10</vt:lpstr>
      <vt:lpstr>'2445'!OSRRefD93_6x_0_11</vt:lpstr>
      <vt:lpstr>'2445'!OSRRefD93_6x_0_12</vt:lpstr>
      <vt:lpstr>'2445'!OSRRefD93_6x_0_13</vt:lpstr>
      <vt:lpstr>'2445'!OSRRefD93_6x_0_14</vt:lpstr>
      <vt:lpstr>'2445'!OSRRefD93_6x_0_15</vt:lpstr>
      <vt:lpstr>'2445'!OSRRefD93_6x_0_16</vt:lpstr>
      <vt:lpstr>'2445'!OSRRefD93_6x_0_17</vt:lpstr>
      <vt:lpstr>'2445'!OSRRefD93_6x_0_18</vt:lpstr>
      <vt:lpstr>'2445'!OSRRefD93_6x_0_19</vt:lpstr>
      <vt:lpstr>'2445'!OSRRefD93_6x_0_2</vt:lpstr>
      <vt:lpstr>'2445'!OSRRefD93_6x_0_20</vt:lpstr>
      <vt:lpstr>'2445'!OSRRefD93_6x_0_21</vt:lpstr>
      <vt:lpstr>'2445'!OSRRefD93_6x_0_22</vt:lpstr>
      <vt:lpstr>'2445'!OSRRefD93_6x_0_23</vt:lpstr>
      <vt:lpstr>'2445'!OSRRefD93_6x_0_24</vt:lpstr>
      <vt:lpstr>'2445'!OSRRefD93_6x_0_25</vt:lpstr>
      <vt:lpstr>'2445'!OSRRefD93_6x_0_26</vt:lpstr>
      <vt:lpstr>'2445'!OSRRefD93_6x_0_27</vt:lpstr>
      <vt:lpstr>'2445'!OSRRefD93_6x_0_28</vt:lpstr>
      <vt:lpstr>'2445'!OSRRefD93_6x_0_29</vt:lpstr>
      <vt:lpstr>'2445'!OSRRefD93_6x_0_3</vt:lpstr>
      <vt:lpstr>'2445'!OSRRefD93_6x_0_30</vt:lpstr>
      <vt:lpstr>'2445'!OSRRefD93_6x_0_31</vt:lpstr>
      <vt:lpstr>'2445'!OSRRefD93_6x_0_32</vt:lpstr>
      <vt:lpstr>'2445'!OSRRefD93_6x_0_33</vt:lpstr>
      <vt:lpstr>'2445'!OSRRefD93_6x_0_34</vt:lpstr>
      <vt:lpstr>'2445'!OSRRefD93_6x_0_35</vt:lpstr>
      <vt:lpstr>'2445'!OSRRefD93_6x_0_36</vt:lpstr>
      <vt:lpstr>'2445'!OSRRefD93_6x_0_37</vt:lpstr>
      <vt:lpstr>'2445'!OSRRefD93_6x_0_38</vt:lpstr>
      <vt:lpstr>'2445'!OSRRefD93_6x_0_39</vt:lpstr>
      <vt:lpstr>'2445'!OSRRefD93_6x_0_4</vt:lpstr>
      <vt:lpstr>'2445'!OSRRefD93_6x_0_40</vt:lpstr>
      <vt:lpstr>'2445'!OSRRefD93_6x_0_41</vt:lpstr>
      <vt:lpstr>'2445'!OSRRefD93_6x_0_42</vt:lpstr>
      <vt:lpstr>'2445'!OSRRefD93_6x_0_43</vt:lpstr>
      <vt:lpstr>'2445'!OSRRefD93_6x_0_44</vt:lpstr>
      <vt:lpstr>'2445'!OSRRefD93_6x_0_45</vt:lpstr>
      <vt:lpstr>'2445'!OSRRefD93_6x_0_46</vt:lpstr>
      <vt:lpstr>'2445'!OSRRefD93_6x_0_47</vt:lpstr>
      <vt:lpstr>'2445'!OSRRefD93_6x_0_48</vt:lpstr>
      <vt:lpstr>'2445'!OSRRefD93_6x_0_49</vt:lpstr>
      <vt:lpstr>'2445'!OSRRefD93_6x_0_5</vt:lpstr>
      <vt:lpstr>'2445'!OSRRefD93_6x_0_50</vt:lpstr>
      <vt:lpstr>'2445'!OSRRefD93_6x_0_51</vt:lpstr>
      <vt:lpstr>'2445'!OSRRefD93_6x_0_6</vt:lpstr>
      <vt:lpstr>'2445'!OSRRefD93_6x_0_7</vt:lpstr>
      <vt:lpstr>'2445'!OSRRefD93_6x_0_8</vt:lpstr>
      <vt:lpstr>'2445'!OSRRefD93_6x_0_9</vt:lpstr>
      <vt:lpstr>'2445'!OSRRefD93_7_0x_0</vt:lpstr>
      <vt:lpstr>'2445'!OSRRefD93_7x_0_0</vt:lpstr>
      <vt:lpstr>'2445'!OSRRefD93_7x_0_1</vt:lpstr>
      <vt:lpstr>'2445'!OSRRefD93_7x_0_10</vt:lpstr>
      <vt:lpstr>'2445'!OSRRefD93_7x_0_11</vt:lpstr>
      <vt:lpstr>'2445'!OSRRefD93_7x_0_12</vt:lpstr>
      <vt:lpstr>'2445'!OSRRefD93_7x_0_13</vt:lpstr>
      <vt:lpstr>'2445'!OSRRefD93_7x_0_14</vt:lpstr>
      <vt:lpstr>'2445'!OSRRefD93_7x_0_15</vt:lpstr>
      <vt:lpstr>'2445'!OSRRefD93_7x_0_16</vt:lpstr>
      <vt:lpstr>'2445'!OSRRefD93_7x_0_17</vt:lpstr>
      <vt:lpstr>'2445'!OSRRefD93_7x_0_18</vt:lpstr>
      <vt:lpstr>'2445'!OSRRefD93_7x_0_19</vt:lpstr>
      <vt:lpstr>'2445'!OSRRefD93_7x_0_2</vt:lpstr>
      <vt:lpstr>'2445'!OSRRefD93_7x_0_20</vt:lpstr>
      <vt:lpstr>'2445'!OSRRefD93_7x_0_21</vt:lpstr>
      <vt:lpstr>'2445'!OSRRefD93_7x_0_22</vt:lpstr>
      <vt:lpstr>'2445'!OSRRefD93_7x_0_23</vt:lpstr>
      <vt:lpstr>'2445'!OSRRefD93_7x_0_24</vt:lpstr>
      <vt:lpstr>'2445'!OSRRefD93_7x_0_25</vt:lpstr>
      <vt:lpstr>'2445'!OSRRefD93_7x_0_26</vt:lpstr>
      <vt:lpstr>'2445'!OSRRefD93_7x_0_27</vt:lpstr>
      <vt:lpstr>'2445'!OSRRefD93_7x_0_28</vt:lpstr>
      <vt:lpstr>'2445'!OSRRefD93_7x_0_29</vt:lpstr>
      <vt:lpstr>'2445'!OSRRefD93_7x_0_3</vt:lpstr>
      <vt:lpstr>'2445'!OSRRefD93_7x_0_30</vt:lpstr>
      <vt:lpstr>'2445'!OSRRefD93_7x_0_31</vt:lpstr>
      <vt:lpstr>'2445'!OSRRefD93_7x_0_32</vt:lpstr>
      <vt:lpstr>'2445'!OSRRefD93_7x_0_33</vt:lpstr>
      <vt:lpstr>'2445'!OSRRefD93_7x_0_34</vt:lpstr>
      <vt:lpstr>'2445'!OSRRefD93_7x_0_35</vt:lpstr>
      <vt:lpstr>'2445'!OSRRefD93_7x_0_36</vt:lpstr>
      <vt:lpstr>'2445'!OSRRefD93_7x_0_37</vt:lpstr>
      <vt:lpstr>'2445'!OSRRefD93_7x_0_38</vt:lpstr>
      <vt:lpstr>'2445'!OSRRefD93_7x_0_39</vt:lpstr>
      <vt:lpstr>'2445'!OSRRefD93_7x_0_4</vt:lpstr>
      <vt:lpstr>'2445'!OSRRefD93_7x_0_40</vt:lpstr>
      <vt:lpstr>'2445'!OSRRefD93_7x_0_41</vt:lpstr>
      <vt:lpstr>'2445'!OSRRefD93_7x_0_42</vt:lpstr>
      <vt:lpstr>'2445'!OSRRefD93_7x_0_43</vt:lpstr>
      <vt:lpstr>'2445'!OSRRefD93_7x_0_44</vt:lpstr>
      <vt:lpstr>'2445'!OSRRefD93_7x_0_45</vt:lpstr>
      <vt:lpstr>'2445'!OSRRefD93_7x_0_46</vt:lpstr>
      <vt:lpstr>'2445'!OSRRefD93_7x_0_47</vt:lpstr>
      <vt:lpstr>'2445'!OSRRefD93_7x_0_48</vt:lpstr>
      <vt:lpstr>'2445'!OSRRefD93_7x_0_49</vt:lpstr>
      <vt:lpstr>'2445'!OSRRefD93_7x_0_5</vt:lpstr>
      <vt:lpstr>'2445'!OSRRefD93_7x_0_50</vt:lpstr>
      <vt:lpstr>'2445'!OSRRefD93_7x_0_51</vt:lpstr>
      <vt:lpstr>'2445'!OSRRefD93_7x_0_6</vt:lpstr>
      <vt:lpstr>'2445'!OSRRefD93_7x_0_7</vt:lpstr>
      <vt:lpstr>'2445'!OSRRefD93_7x_0_8</vt:lpstr>
      <vt:lpstr>'2445'!OSRRefD93_7x_0_9</vt:lpstr>
      <vt:lpstr>'2445'!OSRRefD94x_0_0</vt:lpstr>
      <vt:lpstr>'2445'!OSRRefD94x_0_1</vt:lpstr>
      <vt:lpstr>'2445'!OSRRefD94x_0_10</vt:lpstr>
      <vt:lpstr>'2445'!OSRRefD94x_0_11</vt:lpstr>
      <vt:lpstr>'2445'!OSRRefD94x_0_12</vt:lpstr>
      <vt:lpstr>'2445'!OSRRefD94x_0_13</vt:lpstr>
      <vt:lpstr>'2445'!OSRRefD94x_0_14</vt:lpstr>
      <vt:lpstr>'2445'!OSRRefD94x_0_15</vt:lpstr>
      <vt:lpstr>'2445'!OSRRefD94x_0_16</vt:lpstr>
      <vt:lpstr>'2445'!OSRRefD94x_0_17</vt:lpstr>
      <vt:lpstr>'2445'!OSRRefD94x_0_18</vt:lpstr>
      <vt:lpstr>'2445'!OSRRefD94x_0_19</vt:lpstr>
      <vt:lpstr>'2445'!OSRRefD94x_0_2</vt:lpstr>
      <vt:lpstr>'2445'!OSRRefD94x_0_20</vt:lpstr>
      <vt:lpstr>'2445'!OSRRefD94x_0_21</vt:lpstr>
      <vt:lpstr>'2445'!OSRRefD94x_0_22</vt:lpstr>
      <vt:lpstr>'2445'!OSRRefD94x_0_23</vt:lpstr>
      <vt:lpstr>'2445'!OSRRefD94x_0_24</vt:lpstr>
      <vt:lpstr>'2445'!OSRRefD94x_0_25</vt:lpstr>
      <vt:lpstr>'2445'!OSRRefD94x_0_26</vt:lpstr>
      <vt:lpstr>'2445'!OSRRefD94x_0_27</vt:lpstr>
      <vt:lpstr>'2445'!OSRRefD94x_0_28</vt:lpstr>
      <vt:lpstr>'2445'!OSRRefD94x_0_29</vt:lpstr>
      <vt:lpstr>'2445'!OSRRefD94x_0_3</vt:lpstr>
      <vt:lpstr>'2445'!OSRRefD94x_0_30</vt:lpstr>
      <vt:lpstr>'2445'!OSRRefD94x_0_31</vt:lpstr>
      <vt:lpstr>'2445'!OSRRefD94x_0_32</vt:lpstr>
      <vt:lpstr>'2445'!OSRRefD94x_0_33</vt:lpstr>
      <vt:lpstr>'2445'!OSRRefD94x_0_34</vt:lpstr>
      <vt:lpstr>'2445'!OSRRefD94x_0_35</vt:lpstr>
      <vt:lpstr>'2445'!OSRRefD94x_0_36</vt:lpstr>
      <vt:lpstr>'2445'!OSRRefD94x_0_37</vt:lpstr>
      <vt:lpstr>'2445'!OSRRefD94x_0_38</vt:lpstr>
      <vt:lpstr>'2445'!OSRRefD94x_0_39</vt:lpstr>
      <vt:lpstr>'2445'!OSRRefD94x_0_4</vt:lpstr>
      <vt:lpstr>'2445'!OSRRefD94x_0_40</vt:lpstr>
      <vt:lpstr>'2445'!OSRRefD94x_0_41</vt:lpstr>
      <vt:lpstr>'2445'!OSRRefD94x_0_42</vt:lpstr>
      <vt:lpstr>'2445'!OSRRefD94x_0_43</vt:lpstr>
      <vt:lpstr>'2445'!OSRRefD94x_0_44</vt:lpstr>
      <vt:lpstr>'2445'!OSRRefD94x_0_45</vt:lpstr>
      <vt:lpstr>'2445'!OSRRefD94x_0_46</vt:lpstr>
      <vt:lpstr>'2445'!OSRRefD94x_0_47</vt:lpstr>
      <vt:lpstr>'2445'!OSRRefD94x_0_48</vt:lpstr>
      <vt:lpstr>'2445'!OSRRefD94x_0_49</vt:lpstr>
      <vt:lpstr>'2445'!OSRRefD94x_0_5</vt:lpstr>
      <vt:lpstr>'2445'!OSRRefD94x_0_50</vt:lpstr>
      <vt:lpstr>'2445'!OSRRefD94x_0_51</vt:lpstr>
      <vt:lpstr>'2445'!OSRRefD94x_0_6</vt:lpstr>
      <vt:lpstr>'2445'!OSRRefD94x_0_7</vt:lpstr>
      <vt:lpstr>'2445'!OSRRefD94x_0_8</vt:lpstr>
      <vt:lpstr>'2445'!OSRRefD94x_0_9</vt:lpstr>
      <vt:lpstr>'2445'!OSRRefF93_0x_0</vt:lpstr>
      <vt:lpstr>'2445'!OSRRefF93_1x_0</vt:lpstr>
      <vt:lpstr>'2445'!OSRRefF93_2x_0</vt:lpstr>
      <vt:lpstr>'2445'!OSRRefF93_3x_0</vt:lpstr>
      <vt:lpstr>'2445'!OSRRefF93_4x_0</vt:lpstr>
      <vt:lpstr>'2445'!OSRRefF93_5x_0</vt:lpstr>
      <vt:lpstr>'2445'!OSRRefF93_6x_0</vt:lpstr>
      <vt:lpstr>'2445'!OSRRefF93_7x_0</vt:lpstr>
      <vt:lpstr>'2445'!OSRRefF94x_0</vt:lpstr>
      <vt:lpstr>'2445'!Print_Area</vt:lpstr>
      <vt:lpstr>OSR_Sheet1_62B2TS!Print_Area</vt:lpstr>
      <vt:lpstr>OSR_Sheet1_b...014d1a46_1UJHGWC!Print_Area</vt:lpstr>
      <vt:lpstr>Sheet1!Print_Area</vt:lpstr>
      <vt:lpstr>'2445'!Print_Titles</vt:lpstr>
      <vt:lpstr>OSR_Sheet1_62B2TS!Print_Titles</vt:lpstr>
      <vt:lpstr>OSR_Sheet1_b...014d1a46_1UJHGWC!Print_Titles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Ashley Love</cp:lastModifiedBy>
  <dcterms:created xsi:type="dcterms:W3CDTF">2019-01-15T16:43:56Z</dcterms:created>
  <dcterms:modified xsi:type="dcterms:W3CDTF">2019-02-05T08:37:38Z</dcterms:modified>
</cp:coreProperties>
</file>